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925"/>
  <workbookPr defaultThemeVersion="124226"/>
  <mc:AlternateContent xmlns:mc="http://schemas.openxmlformats.org/markup-compatibility/2006">
    <mc:Choice Requires="x15">
      <x15ac:absPath xmlns:x15ac="http://schemas.microsoft.com/office/spreadsheetml/2010/11/ac" url="C:\Users\CONTROL INTERNO\Desktop\2025\GESTIÓN CONTROL INTERNO\12. INFORME PORMENORIZADO ESTADO SCI\2025\"/>
    </mc:Choice>
  </mc:AlternateContent>
  <xr:revisionPtr revIDLastSave="0" documentId="13_ncr:1_{39EC6912-F2E5-49E2-91BC-3136359B4094}" xr6:coauthVersionLast="47" xr6:coauthVersionMax="47" xr10:uidLastSave="{00000000-0000-0000-0000-000000000000}"/>
  <bookViews>
    <workbookView xWindow="-120" yWindow="-120" windowWidth="20730" windowHeight="11040" activeTab="3" xr2:uid="{00000000-000D-0000-FFFF-FFFF00000000}"/>
  </bookViews>
  <sheets>
    <sheet name="Instructivo" sheetId="2" r:id="rId1"/>
    <sheet name="Estado SCI" sheetId="1" r:id="rId2"/>
    <sheet name="Análisis Resultados" sheetId="3" r:id="rId3"/>
    <sheet name="Conclusión" sheetId="5" r:id="rId4"/>
    <sheet name="Hoja1" sheetId="6" state="hidden" r:id="rId5"/>
  </sheets>
  <externalReferences>
    <externalReference r:id="rId6"/>
  </externalReferences>
  <definedNames>
    <definedName name="_xlnm._FilterDatabase" localSheetId="4" hidden="1">Hoja1!$A$1:$K$45</definedName>
  </definedName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J59" i="1" l="1"/>
  <c r="J58" i="1"/>
  <c r="J57" i="1"/>
  <c r="J56" i="1"/>
  <c r="J55" i="1"/>
  <c r="J54" i="1"/>
  <c r="J53" i="1"/>
  <c r="J52" i="1"/>
  <c r="J51" i="1"/>
  <c r="J50" i="1"/>
  <c r="I59" i="1"/>
  <c r="I58" i="1"/>
  <c r="I57" i="1"/>
  <c r="I56" i="1"/>
  <c r="I55" i="1"/>
  <c r="I54" i="1"/>
  <c r="I53" i="1"/>
  <c r="I52" i="1"/>
  <c r="I51" i="1"/>
  <c r="I50" i="1"/>
  <c r="I49" i="1"/>
  <c r="I48" i="1"/>
  <c r="I47" i="1"/>
  <c r="I46" i="1"/>
  <c r="I45" i="1"/>
  <c r="I44" i="1"/>
  <c r="I43" i="1"/>
  <c r="I42" i="1"/>
  <c r="I41" i="1"/>
  <c r="I40" i="1"/>
  <c r="I39" i="1"/>
  <c r="I38" i="1"/>
  <c r="I37" i="1"/>
  <c r="I36" i="1"/>
  <c r="I35" i="1"/>
  <c r="I34" i="1"/>
  <c r="I33" i="1"/>
  <c r="I32" i="1"/>
  <c r="I31" i="1"/>
  <c r="I30" i="1"/>
  <c r="I29" i="1"/>
  <c r="I28" i="1"/>
  <c r="I27" i="1"/>
  <c r="I26" i="1"/>
  <c r="I25" i="1"/>
  <c r="I24" i="1"/>
  <c r="I23" i="1"/>
  <c r="I22" i="1"/>
  <c r="I21" i="1"/>
  <c r="I20" i="1"/>
  <c r="I19" i="1"/>
  <c r="I18" i="1"/>
  <c r="I17" i="1"/>
  <c r="I16" i="1"/>
  <c r="A59" i="1" l="1"/>
  <c r="A58" i="1"/>
  <c r="A57" i="1"/>
  <c r="A56" i="1"/>
  <c r="A55" i="1"/>
  <c r="A54" i="1"/>
  <c r="A53" i="1"/>
  <c r="A52" i="1"/>
  <c r="A51" i="1"/>
  <c r="A50" i="1"/>
  <c r="A49" i="1"/>
  <c r="A48" i="1"/>
  <c r="A47" i="1"/>
  <c r="A46" i="1"/>
  <c r="A45" i="1"/>
  <c r="A44" i="1"/>
  <c r="A43" i="1"/>
  <c r="A42" i="1"/>
  <c r="A41" i="1"/>
  <c r="A40" i="1"/>
  <c r="A39" i="1"/>
  <c r="J37" i="1"/>
  <c r="L37" i="1" s="1"/>
  <c r="J36" i="1"/>
  <c r="L36" i="1" s="1"/>
  <c r="J35" i="1"/>
  <c r="L35" i="1" s="1"/>
  <c r="J34" i="1"/>
  <c r="L34" i="1" s="1"/>
  <c r="J33" i="1"/>
  <c r="L33" i="1" s="1"/>
  <c r="J32" i="1"/>
  <c r="L32" i="1" s="1"/>
  <c r="A38" i="1"/>
  <c r="A37" i="1"/>
  <c r="A36" i="1"/>
  <c r="A35" i="1"/>
  <c r="A34" i="1"/>
  <c r="A33" i="1"/>
  <c r="A32" i="1"/>
  <c r="L59" i="1"/>
  <c r="L58" i="1"/>
  <c r="L57" i="1"/>
  <c r="L56" i="1"/>
  <c r="L55" i="1"/>
  <c r="L54" i="1"/>
  <c r="L53" i="1"/>
  <c r="L52" i="1"/>
  <c r="L51" i="1"/>
  <c r="L50" i="1"/>
  <c r="J49" i="1"/>
  <c r="L49" i="1" s="1"/>
  <c r="J48" i="1"/>
  <c r="L48" i="1" s="1"/>
  <c r="J47" i="1"/>
  <c r="L47" i="1" s="1"/>
  <c r="J46" i="1"/>
  <c r="L46" i="1" s="1"/>
  <c r="J45" i="1"/>
  <c r="L45" i="1" s="1"/>
  <c r="J44" i="1"/>
  <c r="L44" i="1" s="1"/>
  <c r="J43" i="1"/>
  <c r="L43" i="1" s="1"/>
  <c r="J42" i="1"/>
  <c r="L42" i="1" s="1"/>
  <c r="J41" i="1"/>
  <c r="L41" i="1" s="1"/>
  <c r="J40" i="1"/>
  <c r="L40" i="1" s="1"/>
  <c r="J39" i="1"/>
  <c r="L39" i="1" s="1"/>
  <c r="J38" i="1"/>
  <c r="L38" i="1" s="1"/>
  <c r="J31" i="1"/>
  <c r="L31" i="1" s="1"/>
  <c r="J30" i="1"/>
  <c r="L30" i="1" s="1"/>
  <c r="J29" i="1"/>
  <c r="L29" i="1" s="1"/>
  <c r="J28" i="1"/>
  <c r="L28" i="1" s="1"/>
  <c r="J27" i="1"/>
  <c r="L27" i="1" s="1"/>
  <c r="J26" i="1"/>
  <c r="L26" i="1" s="1"/>
  <c r="J25" i="1"/>
  <c r="L25" i="1" s="1"/>
  <c r="J24" i="1"/>
  <c r="L24" i="1" s="1"/>
  <c r="J23" i="1"/>
  <c r="L23" i="1" s="1"/>
  <c r="J22" i="1"/>
  <c r="L22" i="1" s="1"/>
  <c r="J21" i="1"/>
  <c r="L21" i="1" s="1"/>
  <c r="J20" i="1"/>
  <c r="L20" i="1" s="1"/>
  <c r="J19" i="1"/>
  <c r="L19" i="1" s="1"/>
  <c r="J18" i="1"/>
  <c r="L18" i="1" s="1"/>
  <c r="J17" i="1"/>
  <c r="L17" i="1" s="1"/>
  <c r="J16" i="1"/>
  <c r="L16" i="1" s="1"/>
  <c r="A31" i="1" l="1"/>
  <c r="A30" i="1"/>
  <c r="A29" i="1"/>
  <c r="A28" i="1"/>
  <c r="A27" i="1"/>
  <c r="A26" i="1"/>
  <c r="A25" i="1"/>
  <c r="A24" i="1"/>
  <c r="A23" i="1"/>
  <c r="A22" i="1"/>
  <c r="A21" i="1"/>
  <c r="A20" i="1"/>
  <c r="A19" i="1"/>
  <c r="A18" i="1"/>
  <c r="A17" i="1"/>
  <c r="A16" i="1"/>
  <c r="I3" i="6" l="1"/>
  <c r="J3" i="6" s="1"/>
  <c r="I11" i="6"/>
  <c r="J11" i="6" s="1"/>
  <c r="I19" i="6"/>
  <c r="J19" i="6" s="1"/>
  <c r="I25" i="6"/>
  <c r="J25" i="6" s="1"/>
  <c r="I33" i="6"/>
  <c r="J33" i="6" s="1"/>
  <c r="I41" i="6"/>
  <c r="J41" i="6" s="1"/>
  <c r="B29" i="6"/>
  <c r="I4" i="6"/>
  <c r="J4" i="6" s="1"/>
  <c r="I12" i="6"/>
  <c r="J12" i="6" s="1"/>
  <c r="I20" i="6"/>
  <c r="J20" i="6" s="1"/>
  <c r="I26" i="6"/>
  <c r="J26" i="6" s="1"/>
  <c r="I34" i="6"/>
  <c r="J34" i="6" s="1"/>
  <c r="I42" i="6"/>
  <c r="J42" i="6" s="1"/>
  <c r="B36" i="6"/>
  <c r="I5" i="6"/>
  <c r="J5" i="6" s="1"/>
  <c r="I13" i="6"/>
  <c r="J13" i="6" s="1"/>
  <c r="I27" i="6"/>
  <c r="J27" i="6" s="1"/>
  <c r="I35" i="6"/>
  <c r="J35" i="6" s="1"/>
  <c r="I43" i="6"/>
  <c r="J43" i="6" s="1"/>
  <c r="B2" i="6"/>
  <c r="I6" i="6"/>
  <c r="J6" i="6" s="1"/>
  <c r="I14" i="6"/>
  <c r="J14" i="6" s="1"/>
  <c r="I21" i="6"/>
  <c r="J21" i="6" s="1"/>
  <c r="I28" i="6"/>
  <c r="J28" i="6" s="1"/>
  <c r="I36" i="6"/>
  <c r="J36" i="6" s="1"/>
  <c r="I44" i="6"/>
  <c r="J44" i="6" s="1"/>
  <c r="I7" i="6"/>
  <c r="J7" i="6" s="1"/>
  <c r="I15" i="6"/>
  <c r="J15" i="6" s="1"/>
  <c r="I22" i="6"/>
  <c r="J22" i="6" s="1"/>
  <c r="I29" i="6"/>
  <c r="J29" i="6" s="1"/>
  <c r="I37" i="6"/>
  <c r="J37" i="6" s="1"/>
  <c r="I45" i="6"/>
  <c r="J45" i="6" s="1"/>
  <c r="I8" i="6"/>
  <c r="J8" i="6" s="1"/>
  <c r="I16" i="6"/>
  <c r="J16" i="6" s="1"/>
  <c r="I23" i="6"/>
  <c r="J23" i="6" s="1"/>
  <c r="I30" i="6"/>
  <c r="J30" i="6" s="1"/>
  <c r="I38" i="6"/>
  <c r="J38" i="6" s="1"/>
  <c r="I2" i="6"/>
  <c r="J2" i="6" s="1"/>
  <c r="I9" i="6"/>
  <c r="J9" i="6" s="1"/>
  <c r="I17" i="6"/>
  <c r="J17" i="6" s="1"/>
  <c r="I31" i="6"/>
  <c r="J31" i="6" s="1"/>
  <c r="I39" i="6"/>
  <c r="J39" i="6" s="1"/>
  <c r="B14" i="6"/>
  <c r="I10" i="6"/>
  <c r="J10" i="6" s="1"/>
  <c r="I18" i="6"/>
  <c r="J18" i="6" s="1"/>
  <c r="I24" i="6"/>
  <c r="J24" i="6" s="1"/>
  <c r="I32" i="6"/>
  <c r="J32" i="6" s="1"/>
  <c r="I40" i="6"/>
  <c r="J40" i="6" s="1"/>
  <c r="B24" i="6"/>
  <c r="G41" i="6"/>
  <c r="G40" i="6"/>
  <c r="G32" i="6"/>
  <c r="G24" i="6"/>
  <c r="G18" i="6"/>
  <c r="G10" i="6"/>
  <c r="G2" i="6"/>
  <c r="F10" i="6"/>
  <c r="F18" i="6"/>
  <c r="F24" i="6"/>
  <c r="F32" i="6"/>
  <c r="F40" i="6"/>
  <c r="G29" i="6"/>
  <c r="G7" i="6"/>
  <c r="F27" i="6"/>
  <c r="G28" i="6"/>
  <c r="G14" i="6"/>
  <c r="F14" i="6"/>
  <c r="F36" i="6"/>
  <c r="G27" i="6"/>
  <c r="G5" i="6"/>
  <c r="F22" i="6"/>
  <c r="F45" i="6"/>
  <c r="G34" i="6"/>
  <c r="G20" i="6"/>
  <c r="F8" i="6"/>
  <c r="F30" i="6"/>
  <c r="G33" i="6"/>
  <c r="G11" i="6"/>
  <c r="F17" i="6"/>
  <c r="G39" i="6"/>
  <c r="G31" i="6"/>
  <c r="G17" i="6"/>
  <c r="G9" i="6"/>
  <c r="F3" i="6"/>
  <c r="F11" i="6"/>
  <c r="F19" i="6"/>
  <c r="F25" i="6"/>
  <c r="F33" i="6"/>
  <c r="F41" i="6"/>
  <c r="G37" i="6"/>
  <c r="G15" i="6"/>
  <c r="F5" i="6"/>
  <c r="F43" i="6"/>
  <c r="G44" i="6"/>
  <c r="G21" i="6"/>
  <c r="F6" i="6"/>
  <c r="F28" i="6"/>
  <c r="G35" i="6"/>
  <c r="G13" i="6"/>
  <c r="F7" i="6"/>
  <c r="F29" i="6"/>
  <c r="G26" i="6"/>
  <c r="G4" i="6"/>
  <c r="F23" i="6"/>
  <c r="F2" i="6"/>
  <c r="G19" i="6"/>
  <c r="F9" i="6"/>
  <c r="F39" i="6"/>
  <c r="G38" i="6"/>
  <c r="G30" i="6"/>
  <c r="G23" i="6"/>
  <c r="G16" i="6"/>
  <c r="G8" i="6"/>
  <c r="F4" i="6"/>
  <c r="F12" i="6"/>
  <c r="F20" i="6"/>
  <c r="F26" i="6"/>
  <c r="F34" i="6"/>
  <c r="F42" i="6"/>
  <c r="G45" i="6"/>
  <c r="G22" i="6"/>
  <c r="F13" i="6"/>
  <c r="F35" i="6"/>
  <c r="G36" i="6"/>
  <c r="G6" i="6"/>
  <c r="F21" i="6"/>
  <c r="F44" i="6"/>
  <c r="G43" i="6"/>
  <c r="F15" i="6"/>
  <c r="F37" i="6"/>
  <c r="G42" i="6"/>
  <c r="G12" i="6"/>
  <c r="F16" i="6"/>
  <c r="F38" i="6"/>
  <c r="G25" i="6"/>
  <c r="G3" i="6"/>
  <c r="F31" i="6"/>
  <c r="K24" i="6" l="1"/>
  <c r="G30" i="5" s="1"/>
  <c r="K29" i="6"/>
  <c r="K36" i="6"/>
  <c r="K14" i="6"/>
  <c r="K9" i="6"/>
  <c r="K6" i="6"/>
  <c r="K35" i="6"/>
  <c r="K19" i="6"/>
  <c r="K23" i="6"/>
  <c r="K40" i="6"/>
  <c r="K10" i="6"/>
  <c r="K7" i="6"/>
  <c r="K44" i="6"/>
  <c r="K20" i="6"/>
  <c r="K38" i="6"/>
  <c r="K3" i="6"/>
  <c r="K8" i="6"/>
  <c r="K30" i="6"/>
  <c r="K37" i="6"/>
  <c r="K25" i="6"/>
  <c r="K45" i="6"/>
  <c r="K11" i="6"/>
  <c r="K4" i="6"/>
  <c r="K12" i="6"/>
  <c r="K32" i="6"/>
  <c r="K41" i="6"/>
  <c r="K17" i="6"/>
  <c r="K15" i="6"/>
  <c r="K28" i="6"/>
  <c r="K39" i="6"/>
  <c r="K27" i="6"/>
  <c r="K5" i="6"/>
  <c r="K33" i="6"/>
  <c r="K42" i="6"/>
  <c r="K22" i="6"/>
  <c r="K2" i="6"/>
  <c r="K31" i="6"/>
  <c r="K13" i="6"/>
  <c r="K34" i="6"/>
  <c r="K43" i="6"/>
  <c r="K18" i="6"/>
  <c r="K16" i="6"/>
  <c r="K26" i="6"/>
  <c r="K21" i="6"/>
  <c r="H37" i="6"/>
  <c r="H17" i="6"/>
  <c r="H30" i="6"/>
  <c r="H2" i="6"/>
  <c r="H10" i="6"/>
  <c r="H44" i="6"/>
  <c r="H6" i="6"/>
  <c r="H7" i="6"/>
  <c r="H42" i="6"/>
  <c r="H36" i="6"/>
  <c r="H11" i="6"/>
  <c r="H5" i="6"/>
  <c r="H29" i="6"/>
  <c r="H18" i="6"/>
  <c r="H12" i="6"/>
  <c r="H38" i="6"/>
  <c r="H13" i="6"/>
  <c r="H33" i="6"/>
  <c r="H27" i="6"/>
  <c r="H24" i="6"/>
  <c r="H3" i="6"/>
  <c r="H8" i="6"/>
  <c r="H26" i="6"/>
  <c r="H39" i="6"/>
  <c r="H19" i="6"/>
  <c r="H35" i="6"/>
  <c r="H15" i="6"/>
  <c r="H9" i="6"/>
  <c r="H32" i="6"/>
  <c r="H40" i="6"/>
  <c r="H22" i="6"/>
  <c r="H25" i="6"/>
  <c r="H45" i="6"/>
  <c r="H20" i="6"/>
  <c r="H14" i="6"/>
  <c r="H43" i="6"/>
  <c r="H16" i="6"/>
  <c r="H23" i="6"/>
  <c r="H4" i="6"/>
  <c r="H21" i="6"/>
  <c r="H31" i="6"/>
  <c r="H34" i="6"/>
  <c r="H28" i="6"/>
  <c r="H41" i="6"/>
  <c r="E30" i="5" l="1"/>
  <c r="E26" i="5"/>
  <c r="G26" i="5"/>
  <c r="E28" i="5"/>
  <c r="G28" i="5"/>
  <c r="G34" i="5"/>
  <c r="E34" i="5"/>
  <c r="E32" i="5"/>
  <c r="G32" i="5"/>
  <c r="F56" i="3"/>
  <c r="F48" i="3"/>
  <c r="F40" i="3"/>
  <c r="F32" i="3"/>
  <c r="F24" i="3"/>
  <c r="F55" i="3"/>
  <c r="F47" i="3"/>
  <c r="F39" i="3"/>
  <c r="F31" i="3"/>
  <c r="F23" i="3"/>
  <c r="F34" i="3"/>
  <c r="F62" i="3"/>
  <c r="F54" i="3"/>
  <c r="F46" i="3"/>
  <c r="F38" i="3"/>
  <c r="F30" i="3"/>
  <c r="F22" i="3"/>
  <c r="F53" i="3"/>
  <c r="F45" i="3"/>
  <c r="F37" i="3"/>
  <c r="F29" i="3"/>
  <c r="F57" i="3"/>
  <c r="F33" i="3"/>
  <c r="F61" i="3"/>
  <c r="F21" i="3"/>
  <c r="F58" i="3"/>
  <c r="F50" i="3"/>
  <c r="F26" i="3"/>
  <c r="F60" i="3"/>
  <c r="F52" i="3"/>
  <c r="F44" i="3"/>
  <c r="F36" i="3"/>
  <c r="F28" i="3"/>
  <c r="F20" i="3"/>
  <c r="F25" i="3"/>
  <c r="F59" i="3"/>
  <c r="F51" i="3"/>
  <c r="F43" i="3"/>
  <c r="F35" i="3"/>
  <c r="F27" i="3"/>
  <c r="F19" i="3"/>
  <c r="F42" i="3"/>
  <c r="F49" i="3"/>
  <c r="F41" i="3"/>
  <c r="E56" i="3"/>
  <c r="E40" i="3"/>
  <c r="E55" i="3"/>
  <c r="E47" i="3"/>
  <c r="E39" i="3"/>
  <c r="E31" i="3"/>
  <c r="E23" i="3"/>
  <c r="E51" i="3"/>
  <c r="E27" i="3"/>
  <c r="E58" i="3"/>
  <c r="E26" i="3"/>
  <c r="E57" i="3"/>
  <c r="E25" i="3"/>
  <c r="E24" i="3"/>
  <c r="E62" i="3"/>
  <c r="E54" i="3"/>
  <c r="E46" i="3"/>
  <c r="E38" i="3"/>
  <c r="E30" i="3"/>
  <c r="E22" i="3"/>
  <c r="E60" i="3"/>
  <c r="E20" i="3"/>
  <c r="E43" i="3"/>
  <c r="E50" i="3"/>
  <c r="E34" i="3"/>
  <c r="E49" i="3"/>
  <c r="E48" i="3"/>
  <c r="E61" i="3"/>
  <c r="E53" i="3"/>
  <c r="E45" i="3"/>
  <c r="E37" i="3"/>
  <c r="E29" i="3"/>
  <c r="E21" i="3"/>
  <c r="E52" i="3"/>
  <c r="E44" i="3"/>
  <c r="E36" i="3"/>
  <c r="E28" i="3"/>
  <c r="E59" i="3"/>
  <c r="E35" i="3"/>
  <c r="E19" i="3"/>
  <c r="E42" i="3"/>
  <c r="E41" i="3"/>
  <c r="E33" i="3"/>
  <c r="E32" i="3"/>
  <c r="I61" i="3" l="1"/>
  <c r="G61" i="3"/>
  <c r="I59" i="3"/>
  <c r="G59" i="3"/>
  <c r="I45" i="3"/>
  <c r="G45" i="3"/>
  <c r="G20" i="3"/>
  <c r="I20" i="3"/>
  <c r="G24" i="3"/>
  <c r="I24" i="3"/>
  <c r="I31" i="3"/>
  <c r="G31" i="3"/>
  <c r="I32" i="3"/>
  <c r="G32" i="3"/>
  <c r="G28" i="3"/>
  <c r="I28" i="3"/>
  <c r="I53" i="3"/>
  <c r="G53" i="3"/>
  <c r="I60" i="3"/>
  <c r="G60" i="3"/>
  <c r="G25" i="3"/>
  <c r="I25" i="3"/>
  <c r="I39" i="3"/>
  <c r="G39" i="3"/>
  <c r="G22" i="3"/>
  <c r="I22" i="3"/>
  <c r="I57" i="3"/>
  <c r="G57" i="3"/>
  <c r="I47" i="3"/>
  <c r="G47" i="3"/>
  <c r="I33" i="3"/>
  <c r="G33" i="3"/>
  <c r="I44" i="3"/>
  <c r="G44" i="3"/>
  <c r="I48" i="3"/>
  <c r="G48" i="3"/>
  <c r="I30" i="3"/>
  <c r="G30" i="3"/>
  <c r="G26" i="3"/>
  <c r="I26" i="3"/>
  <c r="I55" i="3"/>
  <c r="G55" i="3"/>
  <c r="I41" i="3"/>
  <c r="G41" i="3"/>
  <c r="I52" i="3"/>
  <c r="G52" i="3"/>
  <c r="I49" i="3"/>
  <c r="G49" i="3"/>
  <c r="I38" i="3"/>
  <c r="G38" i="3"/>
  <c r="I58" i="3"/>
  <c r="G58" i="3"/>
  <c r="I42" i="3"/>
  <c r="G42" i="3"/>
  <c r="G21" i="3"/>
  <c r="I21" i="3"/>
  <c r="I34" i="3"/>
  <c r="G34" i="3"/>
  <c r="I46" i="3"/>
  <c r="G46" i="3"/>
  <c r="I27" i="3"/>
  <c r="G27" i="3"/>
  <c r="I40" i="3"/>
  <c r="G40" i="3"/>
  <c r="I36" i="3"/>
  <c r="G36" i="3"/>
  <c r="I19" i="3"/>
  <c r="G19" i="3"/>
  <c r="G29" i="3"/>
  <c r="I29" i="3"/>
  <c r="I50" i="3"/>
  <c r="G50" i="3"/>
  <c r="I54" i="3"/>
  <c r="G54" i="3"/>
  <c r="I51" i="3"/>
  <c r="G51" i="3"/>
  <c r="I56" i="3"/>
  <c r="G56" i="3"/>
  <c r="I35" i="3"/>
  <c r="G35" i="3"/>
  <c r="I37" i="3"/>
  <c r="G37" i="3"/>
  <c r="I43" i="3"/>
  <c r="G43" i="3"/>
  <c r="I62" i="3"/>
  <c r="G62" i="3"/>
  <c r="G23" i="3"/>
  <c r="I23" i="3"/>
  <c r="J41" i="3" l="1"/>
  <c r="J53" i="3"/>
  <c r="J46" i="3"/>
  <c r="J31" i="3"/>
  <c r="J19" i="3"/>
  <c r="M8" i="5" l="1"/>
</calcChain>
</file>

<file path=xl/sharedStrings.xml><?xml version="1.0" encoding="utf-8"?>
<sst xmlns="http://schemas.openxmlformats.org/spreadsheetml/2006/main" count="514" uniqueCount="243">
  <si>
    <t>EVALUACIÓN INDEPENDIENTE SISTEMA DE CONTROL INTERNO
Entidades Pequeñas
(instrucciones para su diligenciamiento)</t>
  </si>
  <si>
    <t>Teniendo en cuenta que con la expedición del Decreto 1499 de 2017 “Por medio del cual se modifica el Decreto 1083 de 2015, Decreto Único Reglamentario del Sector Función Pública, en lo relacionado con el Sistema de Gestión establecido en el artículo 133 de la Ley 1753 de 2015”, se crea un solo Sistema de Gestión y se alinea con el Sistema de Control Interno, hoy todas las entidades públicas requieren actualizar y/o implementar el Modelo Integrado de Planeación y Gestión MIPG, modelo que incorpora el Modelo Estándar de Control Interno MECI a través de la 7a dimensión del mismo.  Esta estructura requiere de un análisis articulado frente al desarrollo de las políticas de gestión y desempeño contenidas en el modelo y su efectividad en relación con la estructura de control, este útlimo, aspecto esecial para garantizar el buen manejo de los recursos, que las metas y objetivos se cumplan y se mejore la prestación del servicio a los usuarios, ejes fundamentales para la generación de valor público.
Teniendo en cuenta lo anterior y dada la necesidad de dar cumplimiento a la dispuesto en el articulo 156 del Decreto 2106 de 2019, el presente formatobusca que las entidades cuenten con una herramienta para evaluar sus Sistemas de Control Interno de manera integral y permitirle al Jefe de Control Interno o quien haga sus veces llevar a cabo el informe de evaluación independiente sobre el mismo para su publicación cada seis (6) meses, en el sitio web de la entidad. La estructura propuesta es diferencial para aquellas entidades de municipios de 6a categoría (Personerías y Concejos Municipales) que son entidades con 1 y hasta 5 servidores en sus plantas de personal. Estas entidades deben tener en cuenta que de acuerdo con el parágrafo del artículo ARTÍCULO 2.2.22.2.1. del Decreto 1499 de 2017, las políticas de gestión y desempeño contenidas en el Modelo Integrado de Planeación y Gestión MIPG, deben ser aplicadas acorde con las normas que las regulan, por lo que deben analizar dichas políticas e implementarlas en armonía con el MECI.</t>
  </si>
  <si>
    <t>Orientaciones Generales</t>
  </si>
  <si>
    <r>
      <t xml:space="preserve">El archivo contiene las siguientes hojas:
 -  1 </t>
    </r>
    <r>
      <rPr>
        <b/>
        <sz val="11"/>
        <rFont val="Arial Narrow"/>
        <family val="2"/>
      </rPr>
      <t xml:space="preserve">Pestaña que desarrolla la estructura para evaluar el estado del Sistema de Control Interno: </t>
    </r>
    <r>
      <rPr>
        <sz val="11"/>
        <rFont val="Arial Narrow"/>
        <family val="2"/>
      </rPr>
      <t xml:space="preserve">Se desagrega en </t>
    </r>
    <r>
      <rPr>
        <sz val="10"/>
        <rFont val="Arial Narrow"/>
        <family val="2"/>
      </rPr>
      <t>"Ambiente de Control", "Evaluación de riesgos", "Actividades de control", "Información y Comunicación", y " Actividades de Monitoreo", componentes actuales del Modelo Estándar de Control Interno MECI. La estructura es la siguiente para el diligenciamiento:</t>
    </r>
  </si>
  <si>
    <t>Columna</t>
  </si>
  <si>
    <t>Descripción</t>
  </si>
  <si>
    <t>Componente del MECI asociado</t>
  </si>
  <si>
    <t>Esta columna define los componentes del MECI.</t>
  </si>
  <si>
    <t>Lineamiento General por Componente</t>
  </si>
  <si>
    <t>En esta columna establece el lineamientos general para cada uno de los componentes del MECI</t>
  </si>
  <si>
    <t>Requerimiento Asociado al Componente</t>
  </si>
  <si>
    <t>Se muestran una serie de preguntas con 3 opciones de respuesta así:
1. SI
2.NO
3. EN PROCESO</t>
  </si>
  <si>
    <t>Evidencia de Seguimiento al Control</t>
  </si>
  <si>
    <t>Establezca actividades adelantadas de aplicación del documento o elemento antes identificado (esto cuando se responde SI o bien EN PROCESO)</t>
  </si>
  <si>
    <r>
      <t xml:space="preserve"> -</t>
    </r>
    <r>
      <rPr>
        <sz val="11"/>
        <rFont val="Arial Narrow"/>
        <family val="2"/>
      </rPr>
      <t xml:space="preserve"> </t>
    </r>
    <r>
      <rPr>
        <b/>
        <sz val="11"/>
        <rFont val="Arial Narrow"/>
        <family val="2"/>
      </rPr>
      <t>Análisis de Resultados:</t>
    </r>
    <r>
      <rPr>
        <sz val="10"/>
        <rFont val="Arial Narrow"/>
        <family val="2"/>
      </rPr>
      <t xml:space="preserve"> Esta hoja permite consolidar los resultados para cada componente evaluado.</t>
    </r>
  </si>
  <si>
    <t xml:space="preserve">Clasificación </t>
  </si>
  <si>
    <t>Observaciones del Control</t>
  </si>
  <si>
    <t>Mantenimiento del Control</t>
  </si>
  <si>
    <t>Existe requerimiento pero se requiere actividades  dirigidas a su mantenimiento dentro del marco de las lineas de defensa.</t>
  </si>
  <si>
    <t>Oportunidad de Mejora</t>
  </si>
  <si>
    <t>Se encuentra en proceso, pero requiere continuar con acciones dirigidas a contar con dicho aspecto de control</t>
  </si>
  <si>
    <t xml:space="preserve">Deficiencia del Control 
</t>
  </si>
  <si>
    <t>No se encuentra el aspecto  por lo tanto la entidad debera generar acciones dirigidas a que se cumpla con el requerimiento .</t>
  </si>
  <si>
    <r>
      <t xml:space="preserve"> -</t>
    </r>
    <r>
      <rPr>
        <sz val="11"/>
        <rFont val="Arial Narrow"/>
        <family val="2"/>
      </rPr>
      <t xml:space="preserve"> </t>
    </r>
    <r>
      <rPr>
        <b/>
        <sz val="11"/>
        <rFont val="Arial Narrow"/>
        <family val="2"/>
      </rPr>
      <t>Conclusiones:</t>
    </r>
    <r>
      <rPr>
        <sz val="10"/>
        <rFont val="Arial Narrow"/>
        <family val="2"/>
      </rPr>
      <t xml:space="preserve"> Esta hoja permite establecer el estado del Sistema de Control Interno evaluado, información a partir de la cual se definen las acciones de mejora correspondientes. Esta hoja será el informe para publicación en página web, o bien para ubicar en un lugar visible en la sede de la entidad (esto para aquellas que no cuentan con conectividad o página web en operación).</t>
    </r>
  </si>
  <si>
    <t>MEDICION ESTADO DEL SISTEMA DE CONTROL INTERNO EN LA ENTIDAD</t>
  </si>
  <si>
    <t xml:space="preserve">No. </t>
  </si>
  <si>
    <t>Literal</t>
  </si>
  <si>
    <t>Requerimiento asociado al componente</t>
  </si>
  <si>
    <t>Seguimiento al control (Si, No, En proceso)</t>
  </si>
  <si>
    <t>Evidencia de seguimiento al control
(Establezca actividades adelantadas de aplicación del documento o elemento antes identificado, esto cuando se responde SI o bien EN PROCESO</t>
  </si>
  <si>
    <t>Evaluación</t>
  </si>
  <si>
    <t>1</t>
  </si>
  <si>
    <t>AMBIENTE DE CONTROL</t>
  </si>
  <si>
    <t>El ambiente de control institucional está integrado por todas esas condiciones mínimas que debe garantizar cualquier entidad pública para el ejercicio del control interno. Para el caso de su entidad indique si se cuenta con:</t>
  </si>
  <si>
    <t>a</t>
  </si>
  <si>
    <t>Documento interno o adopción del MECI actualizado</t>
  </si>
  <si>
    <t>b</t>
  </si>
  <si>
    <t>Un documento tal como un código de ética, integridad u otro que formalice los estándares de conducta, los principios institucionales o los valores del servicio público</t>
  </si>
  <si>
    <t>Si</t>
  </si>
  <si>
    <t>c</t>
  </si>
  <si>
    <t>Planes, programas y proyectos de acuerdo con las normas que rigen y atendiendo con su propósito fundamental institucional (misión)</t>
  </si>
  <si>
    <t>d</t>
  </si>
  <si>
    <t>Una estructura organizacional formalizada (organigrama)</t>
  </si>
  <si>
    <t>e</t>
  </si>
  <si>
    <t>Un manual de funciones que describa los empleos de la entidad</t>
  </si>
  <si>
    <t>f</t>
  </si>
  <si>
    <t>La documentación de sus procesos y procedimientos o bien una lista de actividades principales que permitan conocer el estado de su gestión</t>
  </si>
  <si>
    <t>g</t>
  </si>
  <si>
    <t>Vinculación de los servidores públicos de acuerdo con el marco normativo que les rige (carrera administrativa, libre nombramiento y remoción, entre otros)</t>
  </si>
  <si>
    <t>h</t>
  </si>
  <si>
    <t>Procesos de inducción, capacitación y bienestar social para sus servidores públicos, de manera directa o en asociación con otras entidades municipales</t>
  </si>
  <si>
    <t>i</t>
  </si>
  <si>
    <t>Evaluación a los servidores públicos de acuerdo con el marco normativo que le rige</t>
  </si>
  <si>
    <t>j</t>
  </si>
  <si>
    <t>Procesos de desvinculación de servidores de acuerdo con lo previsto en la Constitución Política y las leyes</t>
  </si>
  <si>
    <t>k</t>
  </si>
  <si>
    <t>Mecanismos de rendición de cuentas a la ciudadanía</t>
  </si>
  <si>
    <t>l</t>
  </si>
  <si>
    <t>Presentación oportuna de sus informes de gestión a las autoridades competentes</t>
  </si>
  <si>
    <t>2</t>
  </si>
  <si>
    <t>EVALUACION DEL RIESGO</t>
  </si>
  <si>
    <t>Toda entidad debe identificar, evaluar y gestionar eventos potenciales, tanto internos como externos, que puedan afectar el logro de los objetivos institucionales. Para el caso de su entidad indique si se cuenta con:</t>
  </si>
  <si>
    <t>Identificación de cambios en su entorno que pueden generar consecuencias negativas en su gestión</t>
  </si>
  <si>
    <t>Identificación de aquellos problemas o aspectos que pueden afectar el cumplimiento de los planes de la entidad y en general su gestión institucional (riesgos)</t>
  </si>
  <si>
    <t>Identificación  de los riesgos relacionados con posibles actos de corrupción en el ejercicio de sus funciones</t>
  </si>
  <si>
    <t>Si su capacidad e infraestructura lo permite, identificación de riesgos asociados a las tecnologías de la información y las comunicaciones</t>
  </si>
  <si>
    <t>3</t>
  </si>
  <si>
    <t>Los líderes de los programas, proyectos, o procesos de la entidad  junto con sus equipos de trabajo:</t>
  </si>
  <si>
    <t>Hacen seguimiento a los problemas (riesgos)  que pueden afectar el cumplimiento de sus procesos, programas o proyectos a cargo</t>
  </si>
  <si>
    <t>Informan de manera periódica a quien corresponda sobre el desempeño de las actividades de gestión de riesgos</t>
  </si>
  <si>
    <t>Identifican deficiencias en las maneras de  controlar los riesgos o problemas en sus procesos, programas o proyectos, y propone los ajustes necesarios</t>
  </si>
  <si>
    <t>4</t>
  </si>
  <si>
    <t>Para el manejo de los problemas que afectan el cumplimiento de las metas u objetivos institucionales (riesgos), el jefe de control interno o quien haga sus veces, ha podido evidenciar si en la entidad:</t>
  </si>
  <si>
    <t>Se definen espacios de reunión para conocerlos y proponer acciones para su solución</t>
  </si>
  <si>
    <t>Cada líder del equipo autónomamente toma las acciones para solucionarlos.</t>
  </si>
  <si>
    <t>En proceso</t>
  </si>
  <si>
    <t>Solamente hasta que un organismo de control actúa se definen acciones de mejora.</t>
  </si>
  <si>
    <t>5</t>
  </si>
  <si>
    <t>ACTIVIDADES DE CONTROL</t>
  </si>
  <si>
    <t>Una vez identificados los problemas que afectan el cumplimiento de los planes de la entidad o su gestión institucional, la entidad debe diseñar los controles o mecanismos para darles tratamiento. Para el caso de su entidad indique si se cuenta con:</t>
  </si>
  <si>
    <t>La definición de acciones o actividades para para dar tratamiento a los problemas identificados (mitigación de riesgos), incluyendo aquellos asociados a posibles actos de corrupción</t>
  </si>
  <si>
    <t>Mecanismos de verificación de si se están o no mitigando los riesgos, o en su defecto, elaboración de planes de contingencia para subsanar sus consecuencias</t>
  </si>
  <si>
    <t>Planes, acciones o estrategias que permitan subsanar las consecuencias de la materialización de los riesgos, cuando se presentan</t>
  </si>
  <si>
    <t>Un documento que consolide  los riesgos  y el tratamiento que se les da, incluyendo aquellos que conllevan posibles actos de corrupción y si la capacidad e infraestructura lo permite, los asociados con las tecnologías de la información y las comunicaciones</t>
  </si>
  <si>
    <t>Un plan anticorrupción y de servicio al ciudadano con los temas que le aplican, publicado en algún medio para conocimiento de la ciudadanía</t>
  </si>
  <si>
    <t>6</t>
  </si>
  <si>
    <t>INFORMACION Y COMUNICACIÓN</t>
  </si>
  <si>
    <t>Las entidades deben procurar, de acuerdo con sus propias capacidades internas, que la información y la comunicación que requiere para su gestión y  control interno fluya de manera clara.  Acorde con lo anterior, indique si se cuenta con:</t>
  </si>
  <si>
    <t>Responsables de la información institucional</t>
  </si>
  <si>
    <t>Canales de comunicación con los ciudadanos</t>
  </si>
  <si>
    <t>Canales de comunicación o mecanismos de reporte de información a otros organismos gubernamentales o de control</t>
  </si>
  <si>
    <t xml:space="preserve">Lineamientos para dar tratamiento a la información de carácter reservado </t>
  </si>
  <si>
    <t>Identificación de información que produce en el marco de su gestión (Para los ciudadanos, organismos de control, organismos gubernamentales, entre otros)</t>
  </si>
  <si>
    <t>Identificación de información necesaria para la operación de la entidad (normograma, presupuesto, talento humano, infraestructura física y tecnológica)</t>
  </si>
  <si>
    <t>Si su capacidad e infraestructura lo permite, tecnologías de la información y las comunicaciones que soporten estos procesos</t>
  </si>
  <si>
    <t>7</t>
  </si>
  <si>
    <t>ACTIVIDADES DE MONITOREO</t>
  </si>
  <si>
    <t>Las entidades deben valorar: la eficiencia y eficacia de su gestión y la efectividad del control interno de la entidad pública con el propósito de detectar desviaciones y generar recomendaciones para la mejora. Para el caso de su entidad indique si se cuenta con:</t>
  </si>
  <si>
    <t>Mecanismos de evaluación de la gestión (cronogramas, indicadores, listas de chequeo u otros)</t>
  </si>
  <si>
    <t>Algún mecanismo para monitorear o supervisar el sistema de control interno institucional, ya sea por parte del representante legal, o del área de control interno (si la entidad cuenta con ella), o bien a través del Comité departamental o municipal de Auditoría.</t>
  </si>
  <si>
    <t>Medidas correctivas en caso de detectarse deficiencias en los ejercicios de evaluación, seguimiento o auditoría</t>
  </si>
  <si>
    <t>Seguimiento a los planes de mejoramiento suscritos con instancias de control internas o externas</t>
  </si>
  <si>
    <t>8</t>
  </si>
  <si>
    <t>¿La entidad ha solicitado hacer parte del Comité Municipal de Auditoría, a efectos de contar con un escenario para compartir buenas prácticas en materia de control interno, así como analizar la viabilidad de contar como mínimo con un proceso auditor en la vigencia?</t>
  </si>
  <si>
    <t>La entidad participa en el  Comité Municipal de Auditoría?</t>
  </si>
  <si>
    <t>9</t>
  </si>
  <si>
    <t>El jefe de control interno o quien haga sus veces, ha podido evidenciar si en la entidad el manejo que se ha hecho a los problemas que afectan el cumplimiento de sus metas y objetivos (riesgos) le ha permitido:</t>
  </si>
  <si>
    <t>Evitar que los problemas (riesgos) obstaculicen el cumplimiento de los objetivos.</t>
  </si>
  <si>
    <t>Controlar los puntos críticos en los procesos.</t>
  </si>
  <si>
    <t>Diseñar acciones adecuadas para controlar los problemas que afectan el cumplimiento de las metas y objetivos institucionales (riesgos).</t>
  </si>
  <si>
    <t>Ejecutar las acciones de acuerdo a como se diseñaron previamente.</t>
  </si>
  <si>
    <t>No se gestionan los problemas que afectan el cumplimiento de las funciones y objetivos institucionales(riesgos).</t>
  </si>
  <si>
    <t>ANÁLISIS DE RESULTADOS PARA LA TOMA DE DECISIONES</t>
  </si>
  <si>
    <t>Se encuentra en proceso, pero requiere continuar con acciones dirigidas a contar con dicho aspecto de control.</t>
  </si>
  <si>
    <t>Se encuentra presente  y funcionando, pero requiere mejoras frente a su diseño, ya que  opera de manera efectiva</t>
  </si>
  <si>
    <t>No se encuentra el aspecto  por lo tanto la entidad debera generar acciones dirigidas a que se cumpla con el requerimiento.</t>
  </si>
  <si>
    <t>RESULTADOS</t>
  </si>
  <si>
    <t>FUENTE DEL ANALISIS</t>
  </si>
  <si>
    <t xml:space="preserve">Seguimiento al control </t>
  </si>
  <si>
    <t>OBSERVACIONES DEL CONTROL</t>
  </si>
  <si>
    <t>NIVEL DE CUMPLIMIENTO-ASPECTOS PARTICULARES POR COMPONENTE</t>
  </si>
  <si>
    <t>NIVEL DE CUMPLIMIENTO COMPONENTE</t>
  </si>
  <si>
    <t>componente</t>
  </si>
  <si>
    <t>Nombre de la Entidad:</t>
  </si>
  <si>
    <t>Periodo Evaluado:</t>
  </si>
  <si>
    <t>Estado del sistema de Control Interno de la entidad</t>
  </si>
  <si>
    <t>Conclusión general sobre la evaluación del Sistema de Control Interno</t>
  </si>
  <si>
    <t>¿Están todos los componentes operando juntos y de manera integrada? (Si / en proceso / No) (Justifique su respuesta):</t>
  </si>
  <si>
    <t>¿Es efectivo el sistema de control interno para los objetivos evaluados? (Si/No) (Justifique su respuesta):</t>
  </si>
  <si>
    <t>La entidad cuenta dentro de su Sistema de Control Interno, con una institucionalidad (Líneas de defensa)  que le permita la toma de decisiones frente al control (Si/No) (Justifique su respuesta):</t>
  </si>
  <si>
    <t>Componente</t>
  </si>
  <si>
    <t>¿se esta cumpliendo los requerimientos ?</t>
  </si>
  <si>
    <t>Nivel de Cumplimiento componente</t>
  </si>
  <si>
    <r>
      <rPr>
        <b/>
        <u/>
        <sz val="20"/>
        <color theme="0"/>
        <rFont val="Arial"/>
        <family val="2"/>
      </rPr>
      <t xml:space="preserve"> Estado actual:</t>
    </r>
    <r>
      <rPr>
        <b/>
        <sz val="20"/>
        <color theme="0"/>
        <rFont val="Arial"/>
        <family val="2"/>
      </rPr>
      <t xml:space="preserve"> Explicacion de las Debilidades y/o Fortalezas encontradas en cada componente</t>
    </r>
  </si>
  <si>
    <t>EVALUCION DEL RIESGO</t>
  </si>
  <si>
    <t>ACTIVIDADES DEL CONTROL</t>
  </si>
  <si>
    <t xml:space="preserve">ACTIVIDADES DE MONITOREO </t>
  </si>
  <si>
    <t xml:space="preserve">Evaluación </t>
  </si>
  <si>
    <t>Puntaje</t>
  </si>
  <si>
    <t xml:space="preserve">Orden </t>
  </si>
  <si>
    <t>Nivel de cumplimiento -Aaspectos particulares por componente</t>
  </si>
  <si>
    <t xml:space="preserve">Promedios </t>
  </si>
  <si>
    <t>1a</t>
  </si>
  <si>
    <t>1b</t>
  </si>
  <si>
    <t>1c</t>
  </si>
  <si>
    <t>1d</t>
  </si>
  <si>
    <t>1e</t>
  </si>
  <si>
    <t>1f</t>
  </si>
  <si>
    <t>1g</t>
  </si>
  <si>
    <t>1h</t>
  </si>
  <si>
    <t>1i</t>
  </si>
  <si>
    <t>1j</t>
  </si>
  <si>
    <t>1k</t>
  </si>
  <si>
    <t>1l</t>
  </si>
  <si>
    <t>2a</t>
  </si>
  <si>
    <t>La identificación de cambios en su entorno que pueden generar consecuencias negativas en su gestión</t>
  </si>
  <si>
    <t>2b</t>
  </si>
  <si>
    <t>La identificación de aquellos problemas o aspectos que pueden afectar el cumplimiento de los planes de la entidad y en general su gestión institucional (riesgos)</t>
  </si>
  <si>
    <t>2c</t>
  </si>
  <si>
    <t>La identificación  de los riesgos relacionados con posibles actos de corrupción en el ejercicio de sus funciones</t>
  </si>
  <si>
    <t>2d</t>
  </si>
  <si>
    <t>3a</t>
  </si>
  <si>
    <t>3b</t>
  </si>
  <si>
    <t>3c</t>
  </si>
  <si>
    <t>4a</t>
  </si>
  <si>
    <t>4b</t>
  </si>
  <si>
    <t>4c</t>
  </si>
  <si>
    <t>5a</t>
  </si>
  <si>
    <t>5b</t>
  </si>
  <si>
    <t>5c</t>
  </si>
  <si>
    <t>5d</t>
  </si>
  <si>
    <t>5e</t>
  </si>
  <si>
    <t>6a</t>
  </si>
  <si>
    <t>6b</t>
  </si>
  <si>
    <t>6c</t>
  </si>
  <si>
    <t>6d</t>
  </si>
  <si>
    <t>6e</t>
  </si>
  <si>
    <t>El jefe de control interno o quien haga sus veces, ha podido evidenciar si en la entidad si el manejo que se ha hecho a los problemas que afectan el cumplimiento de sus metas y objetivos (riesgos) le ha permitido:</t>
  </si>
  <si>
    <t>6f</t>
  </si>
  <si>
    <t>6g</t>
  </si>
  <si>
    <t>7a</t>
  </si>
  <si>
    <t>7d</t>
  </si>
  <si>
    <t>7f</t>
  </si>
  <si>
    <t>7g</t>
  </si>
  <si>
    <t>8h</t>
  </si>
  <si>
    <t>9a</t>
  </si>
  <si>
    <t>9b</t>
  </si>
  <si>
    <t>9c</t>
  </si>
  <si>
    <t>9d</t>
  </si>
  <si>
    <t>9e</t>
  </si>
  <si>
    <t>Mediante Resolución 178 DE 2023 se adopta el modelo Integrado de Planeación y Gestión (MIPG).</t>
  </si>
  <si>
    <t>La Resolución 534 de 2018 en sus articulos 1, 2 y 3 contiene el Código de integridad de la Empresa.</t>
  </si>
  <si>
    <t>Está contenido en el plan de Gestión y Resultados de la Empresa.</t>
  </si>
  <si>
    <t>Manual de Procesos y procedimientos adoptado</t>
  </si>
  <si>
    <t>La vinculación del personal se realiza de acuerdo al marco normativo.</t>
  </si>
  <si>
    <t>El proceso de inducción se realiza con personal de Recursos Humanos y se cuenta con el Plan de capacitación anual.</t>
  </si>
  <si>
    <t>Se realizan los informes de gestión requeridos por los organismos de control.</t>
  </si>
  <si>
    <t>Se realizan las respectivas rendiciones de cuentas de acuerdo a lo requerido desde el Concejo Municipal, los cuales son transmitidos en directo a la ciudadanía lo que les permite su participación.</t>
  </si>
  <si>
    <t>Manual de funciones y responsabilidades adoptado, pero debe ser actualizado y ajustado.</t>
  </si>
  <si>
    <t>Mapa de Riesgos Institucional</t>
  </si>
  <si>
    <t>Riesgos identificados en el area de Sistemas de información y Comunicaciones.</t>
  </si>
  <si>
    <t>EMPRESA DE OBRAS SANITARIAS DE SANTA ROSA DE CABAL - EMPOCABAL</t>
  </si>
  <si>
    <t>Se realiza la Evaluación de desempeño Institucional.</t>
  </si>
  <si>
    <t>El mapa de riesgos se socializa en comité de control interno y es discutido para realizar su respectiva actualización y ajuste.</t>
  </si>
  <si>
    <t>Ante las diferentes Auditorías realizadas por los entes de control se suscriben los respectivos planes de mejoramiento y producto de las auditorías internas se corrigen las observaciones administartivas o hallazgos detectados.</t>
  </si>
  <si>
    <t>En la página web de la Empresa.</t>
  </si>
  <si>
    <t>El área de sistemas de información y el equipo de comunicaciones.</t>
  </si>
  <si>
    <t>Se viene utilizando las redes sociales de la Empresa y los medios radiales locales para la difusión de la información.</t>
  </si>
  <si>
    <t>Se vienen reportando los informes de ley a los diferentes órganos de control y las entidades que lo requieren.</t>
  </si>
  <si>
    <t>Se cuenta con la política de tratamiento de la información reservada</t>
  </si>
  <si>
    <t>En la vigencia se vienen ajustando los plazos de reporte de información con los entes de control para normalizar su presentación dentro de los términos de Ley.</t>
  </si>
  <si>
    <t>En la vigencia se vienen ajustando los plazos de reporte de información  y calidad de la información generada en la operación dentro de la Empresa.</t>
  </si>
  <si>
    <t>Se realizan auditorías internas basadas en la matriz de riesgos y se realizan seguimientos periódicos a los planes de mejora suscritos con los entes de control producto de las auditorías realizadas a la Empresa.</t>
  </si>
  <si>
    <t>Se realizan los planes de mejoramiento y se le realiza su respectivo seguimiento.</t>
  </si>
  <si>
    <t>Se realizan de forma permanente.</t>
  </si>
  <si>
    <t>Se participa del Comité.</t>
  </si>
  <si>
    <t>En comité Institucional de Gestión y desempeño, se identifican las posibles dificultades que se vienen presentando en el desarrollo de cada uno de los procesos para ser discutidos y se buscan las correcciones</t>
  </si>
  <si>
    <t>Plan de Gestión y resultados (PGR) y planes de acción u operativos de cada una de las dependencias.</t>
  </si>
  <si>
    <t>Se cuenta con una infraestructura de sistemas y comunicaciones en proceso de mejora, como es la implementación del software NEXIS en la Empresa, el cual aún presenta algunas fallas que se deben ajustar con cada uno de los procesos afectados y ante lo cual la Empresa ha venido desarrollando su respectiva gestión para realizar los ajustes requeridos.                                                                                                                                                                                                                                                                                                                                                                                                                                                                                                                    En la vigencia se vienen ajustando los plazos de reporte de información  y calidad de la información generada en la operación dentro de la Empresa.</t>
  </si>
  <si>
    <t>Si es efectivo, tal como se puede observar en los resultados arrojados por la evaluación realizada,donde aparecen claramente definidas las evidencias y se tienen claridad sobre el papel que ejerce el Comité de Coordinación de Control Interno en la implementación y seguimiento al sistema de control interno, aunque con algunas deficiencias pero con oportunidad de mejora mediante el compromiso de cada uno de los líderes de proceso de la Empresa.                                                                                                                                                                  El hecho de involucrar a la Alta Dirección para la toma de decisiones oportunas a través de las recomendaciones, observaciones y/o hallazgos identificados por la 2da y 3ra línea de defensa en atención a los requerimientos dados por los entes de control, y en cumplimiento de los lineamientos internos definidos por la Empresa, garantiza el mejoramiento continuo en el desarrollo de los procesos, con el fin de garantizar el cumplimiento de las metas y objetivos establecidos a través de los diferentes instrumentos de planificación.</t>
  </si>
  <si>
    <t>La desvinculación del personal se realiza de acuerdo al marco normativo.</t>
  </si>
  <si>
    <t>Se elabora el Plan de Transparencia y Etica pública, (antes llamado Plan Anticorrupciòn y Atención al Ciudadano) adoptado mediante la Resolución Nº040 del 30 enero de 2025.</t>
  </si>
  <si>
    <t>Se realiza la revisión y actualización del mapa de riesgos de la Empresa por parte de cada una de las direcciones.</t>
  </si>
  <si>
    <t xml:space="preserve">Cada dirección identifica los riesgos en su dependencia, son valorados y  administrados </t>
  </si>
  <si>
    <t>El plan anual de auditoría es construído con base en la matriz de priorización de riesgos, lo que permite realizar un seguimiento e identificación de posibles deficiencias en la administración de los mismos.</t>
  </si>
  <si>
    <t>En la actualización del mapa de riesgos, los líderes de los procesos identifican, valoran y gestionan los riesgos priorizados.</t>
  </si>
  <si>
    <t>Mediante la revisión del mapa de riesgos,es actualizado y ajustado a la realidad actual de la Empresa, donde se contemplan los mecanismos de verificación en la mitigación de los mismos.</t>
  </si>
  <si>
    <t>En la revisión y ajuste realizado se encuentran las acciones para gestionar o subsanar los riesgos en caso de materializarse</t>
  </si>
  <si>
    <t>Mapa de Riesgos Institucional y Plan de Transparencia y Etica pública, (antes llamado Plan Anticorrupciòn y Atención al Ciudadano) adoptado mediante la Resolución Nº040 del 30 enero de 2025.</t>
  </si>
  <si>
    <t>Mediante la actualización y ajuste del mapa de riesgos involucrando a los líderes de los procesos, se identifican las posibles desviaciones para el normal desarrollo de los objetivos propuestos.</t>
  </si>
  <si>
    <t xml:space="preserve">Una vez priorizados los riesgos, se identifican los puntos de control de los mismos para su respectiva administración.  </t>
  </si>
  <si>
    <t>La actualización y ajuste al mapa de riesgos,nos permite que sea utilizado como insumo para la construcción del Plan anual de Auditorías.</t>
  </si>
  <si>
    <t>La actualizacion y ajuste permanente del mapa de riesgos permite la gestión de los problemas que afectan el cumplimiento de las funciones y objetivos institucionales.</t>
  </si>
  <si>
    <t>Estructura organizacional formalizada por dependencias pero requiere de un ajuste de la estructura con la nueva dependencia creada.</t>
  </si>
  <si>
    <t>PRIMER SEMESTRE  2025</t>
  </si>
  <si>
    <t xml:space="preserve">La Empresa tiene implementado los componentes de MIPG y MECI, no obstante, se requiere de una mayor participación de todos los actores responsables para generar mayor compromiso en los equipos de trabajo y así lograr mejorar y potenciar el sistema de control interno.
Con  relación al Mapas riesgos Institucional, se ha realizado la revisión para ser actualizado y ajustarlo a la realidad actual de la Empresa,  identificando así oportunidades de mejora relacionadas con el diseño de los controles y/o administración de los mismos.
</t>
  </si>
  <si>
    <t xml:space="preserve">Mediante Resolución 178 DE 2023 se adopta el modelo Integrado de Planeación y Gestión (MIPG), con todos sus componentes, aunque aún falta fortalecer su implementación y revisar y establecer las líneas de defensa en la Empresa.   El Plan de Gestión y Resultados es el instrumento de planeación que permite a la Empresa  direccionar su rumbo y acciones a desarrollar a corto, mediano y largo plazo y es construido y actualizado de forma conjunta con la participación de todas las direcciones.                                                                                                                                                                                                                                                          La Empresa  demuestra compromiso con la Integridad y los valores eticos al establecer normas de conducta contenido en la Resolución 534 de 2018 en sus articulos 1, 2 y 3 contiene el Código de integridad de la Empresa, el cual debe ser socializado, revisado y ajustado con los funcionarios en caso de requerirlo.                                                                                                                                                                                                                                                                                                                                                     Se realizan las respectivas rendiciones de cuentas de acuerdo a lo requerido desde el Concejo Municipal, los cuales son transmitidos en directo a la ciudadanía lo que les permite su participación.                                                                                                                                                                                                                                                                                                                                                    La Empresa cuenta con una estructura organizacional formalizada por dependencias pero requiere de un ajuste de la estructura con la nueva dependencia creada, de igual forma el Manual de funciones y responsabilidades se encuentra adoptado, pero debe ser actualizado y ajustado acorde a la estructura organizacional.                                                                                                                                                                                   </t>
  </si>
  <si>
    <t>El mapa de riesgos ajustado nos permite identificar las acciones y planear las auditoríasa ejecutar en el periodo.</t>
  </si>
  <si>
    <t xml:space="preserve"> Con la implementación del Modelo Integrado de Planeación y gestión-MIPG, se asignan responsabilidades en relación con las líneas de defensa del MECI: 
•Primera línea: Gerentes Públicos y Lideres de Proceso 
•Segunda línea: Servidores responsables de monitoreo y evaluación de controles y gestión del riesgo 
•Tercera línea: Control Interno 
La empresa tiene programado en forma periodica los comites de gerencia,donde se trabajan todos los requerimientos y las situaciones importantes que se han definido en el 
periodo, se establecen mesas de trabajo para los temas y se presentan los informes en el comite siguiente, la oficina asesora de Control Interno viene socializando en el comité de control interno institucional los informes y seguimientos relevantes realizados en el periodo evaluado.
</t>
  </si>
  <si>
    <t>Se tiene dentro de la Empresa el Mapa de Riesgos Institucional, el cual ha sido revisado, actualizado y ajustado a la realidad actual de la Empresa.                                                                                El mapa de riesgos se socializa en comité de control interno y es discutido para realizar su respectiva actualización y ajuste por parte de cada una de las Direcciones.                                   El Plan Anual de Auditoria y seguimientos se basa en la priorización de los riesgos por parte decada una de las direcciones.                             Ante las diferentes Auditorías realizadas por los entes de control se suscriben los respectivos planes de mejoramiento y producto de las auditorías internas se corrigen las observaciones administrativas o hallazgos detectados con la suscripción del respectivo plan de mejoramiento.</t>
  </si>
  <si>
    <t xml:space="preserve">La Empresa tiene Mapa de Riesgos Institucional y el Programa de transparencia y etica pública. El Programa de transparencia y etica pública se encuentra adoptado mediante acto administrativo y es publicado en la página web de la Empresa, para el conocimiento de la ciudadanía.                                                                                                                                                                                                                                 Se realizó la revisión del mapa de riesgos para ser actualizado y ajustarlo a la realidad actual de la Empresa, donde se contemplan los mecanismos de verificación en la mitigación de los mismos, allí se encuentran las acciones para gestionar o subsanar los riesgos en caso de materializarse.  </t>
  </si>
  <si>
    <t>Se cuenta con una infraestructura de sistemas y comunicaciones en proceso de mejora, como es la implementación y ajustes constantes del software NEXIS en la Empresa.</t>
  </si>
  <si>
    <t>El Plan de auditorías internas es construído con base a la Matriz de Riesgos  lo que permite prorizar los temas a ser auditados en el periodo.                                                                                                                                                                                                                                                                                                                                                                         Producto de las auditorías que realizan los entes de control, se realizan los planes de mejoramiento con la participación de cada uno de los funcionarios o procesos involucrados y se le realiza su respectivo seguimiento por parte dela OCI.                                                                                                                                                                                                                                                                                                                                                                                                                  El mecanismo para realizar la evaluación de la gestión de la Empresa es el Plan de Gestión y resultados (PGR) y planes de acción u operativos de cada una de las dependencias.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</si>
</sst>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yy;@"/>
  </numFmts>
  <fonts count="59" x14ac:knownFonts="1">
    <font>
      <sz val="11"/>
      <color theme="1"/>
      <name val="Calibri"/>
      <family val="2"/>
      <scheme val="minor"/>
    </font>
    <font>
      <sz val="11"/>
      <name val="Arial"/>
      <family val="2"/>
    </font>
    <font>
      <b/>
      <sz val="12"/>
      <name val="Arial"/>
      <family val="2"/>
    </font>
    <font>
      <sz val="11"/>
      <color theme="1"/>
      <name val="Calibri"/>
      <family val="2"/>
      <scheme val="minor"/>
    </font>
    <font>
      <sz val="11"/>
      <color theme="0"/>
      <name val="Calibri"/>
      <family val="2"/>
      <scheme val="minor"/>
    </font>
    <font>
      <b/>
      <sz val="12"/>
      <color theme="0"/>
      <name val="Arial"/>
      <family val="2"/>
    </font>
    <font>
      <b/>
      <sz val="20"/>
      <color theme="0"/>
      <name val="Arial Narrow"/>
      <family val="2"/>
    </font>
    <font>
      <sz val="11"/>
      <color theme="1"/>
      <name val="Arial Narrow"/>
      <family val="2"/>
    </font>
    <font>
      <sz val="11"/>
      <color theme="0"/>
      <name val="Arial Narrow"/>
      <family val="2"/>
    </font>
    <font>
      <b/>
      <sz val="18"/>
      <color theme="0"/>
      <name val="Arial"/>
      <family val="2"/>
    </font>
    <font>
      <sz val="20"/>
      <color rgb="FFFF0000"/>
      <name val="Arial"/>
      <family val="2"/>
    </font>
    <font>
      <b/>
      <sz val="12"/>
      <color rgb="FFFF0000"/>
      <name val="Arial"/>
      <family val="2"/>
    </font>
    <font>
      <b/>
      <sz val="10"/>
      <color rgb="FFFF0000"/>
      <name val="Arial"/>
      <family val="2"/>
    </font>
    <font>
      <b/>
      <sz val="10"/>
      <color theme="1"/>
      <name val="Arial"/>
      <family val="2"/>
    </font>
    <font>
      <b/>
      <sz val="16"/>
      <color theme="1"/>
      <name val="Arial"/>
      <family val="2"/>
    </font>
    <font>
      <b/>
      <i/>
      <sz val="10"/>
      <name val="Arial"/>
      <family val="2"/>
    </font>
    <font>
      <b/>
      <i/>
      <sz val="10"/>
      <color theme="1"/>
      <name val="Arial"/>
      <family val="2"/>
    </font>
    <font>
      <b/>
      <sz val="16"/>
      <color theme="0"/>
      <name val="Arial Narrow"/>
      <family val="2"/>
    </font>
    <font>
      <b/>
      <sz val="12"/>
      <color theme="0"/>
      <name val="Arial Narrow"/>
      <family val="2"/>
    </font>
    <font>
      <b/>
      <sz val="10"/>
      <color theme="0"/>
      <name val="Arial Narrow"/>
      <family val="2"/>
    </font>
    <font>
      <sz val="12"/>
      <color theme="1"/>
      <name val="Arial"/>
      <family val="2"/>
    </font>
    <font>
      <sz val="10"/>
      <color theme="1"/>
      <name val="Calibri"/>
      <family val="2"/>
      <scheme val="minor"/>
    </font>
    <font>
      <sz val="10"/>
      <color theme="0"/>
      <name val="Arial Narrow"/>
      <family val="2"/>
    </font>
    <font>
      <sz val="14"/>
      <color theme="0"/>
      <name val="Arial"/>
      <family val="2"/>
    </font>
    <font>
      <sz val="10"/>
      <color theme="1"/>
      <name val="Arial Narrow"/>
      <family val="2"/>
    </font>
    <font>
      <b/>
      <sz val="11"/>
      <name val="Arial Narrow"/>
      <family val="2"/>
    </font>
    <font>
      <sz val="10"/>
      <name val="Arial Narrow"/>
      <family val="2"/>
    </font>
    <font>
      <sz val="16"/>
      <color theme="0"/>
      <name val="Calibri"/>
      <family val="2"/>
      <scheme val="minor"/>
    </font>
    <font>
      <b/>
      <sz val="18"/>
      <name val="Calibri"/>
      <family val="2"/>
      <scheme val="minor"/>
    </font>
    <font>
      <sz val="10"/>
      <name val="Arial"/>
      <family val="2"/>
    </font>
    <font>
      <b/>
      <sz val="14"/>
      <name val="Arial Narrow"/>
      <family val="2"/>
    </font>
    <font>
      <b/>
      <u/>
      <sz val="11"/>
      <name val="Arial Narrow"/>
      <family val="2"/>
    </font>
    <font>
      <b/>
      <sz val="10"/>
      <name val="Arial Narrow"/>
      <family val="2"/>
    </font>
    <font>
      <sz val="12"/>
      <name val="Times New Roman"/>
      <family val="1"/>
    </font>
    <font>
      <b/>
      <sz val="9"/>
      <name val="Arial Narrow"/>
      <family val="2"/>
    </font>
    <font>
      <sz val="9"/>
      <name val="Arial Narrow"/>
      <family val="2"/>
    </font>
    <font>
      <sz val="11"/>
      <name val="Arial Narrow"/>
      <family val="2"/>
    </font>
    <font>
      <b/>
      <sz val="10"/>
      <color theme="1"/>
      <name val="Arial Narrow"/>
      <family val="2"/>
    </font>
    <font>
      <sz val="15"/>
      <name val="Arial Narrow"/>
      <family val="2"/>
    </font>
    <font>
      <sz val="15"/>
      <color theme="1"/>
      <name val="Arial Narrow"/>
      <family val="2"/>
    </font>
    <font>
      <sz val="8"/>
      <name val="Calibri"/>
      <family val="2"/>
      <scheme val="minor"/>
    </font>
    <font>
      <b/>
      <sz val="18"/>
      <color theme="1"/>
      <name val="Calibri"/>
      <family val="2"/>
      <scheme val="minor"/>
    </font>
    <font>
      <b/>
      <sz val="20"/>
      <name val="Arial"/>
      <family val="2"/>
    </font>
    <font>
      <sz val="18"/>
      <name val="Arial Narrow"/>
      <family val="2"/>
    </font>
    <font>
      <sz val="12"/>
      <color theme="0"/>
      <name val="Arial Narrow"/>
      <family val="2"/>
    </font>
    <font>
      <b/>
      <sz val="14"/>
      <color theme="0"/>
      <name val="Arial Narrow"/>
      <family val="2"/>
    </font>
    <font>
      <sz val="12"/>
      <name val="Arial Narrow"/>
      <family val="2"/>
    </font>
    <font>
      <sz val="12"/>
      <color theme="1"/>
      <name val="Arial Narrow"/>
      <family val="2"/>
    </font>
    <font>
      <sz val="14"/>
      <color theme="1"/>
      <name val="Calibri"/>
      <family val="2"/>
      <scheme val="minor"/>
    </font>
    <font>
      <b/>
      <sz val="14"/>
      <name val="Arial"/>
      <family val="2"/>
    </font>
    <font>
      <sz val="18"/>
      <color theme="1"/>
      <name val="Arial"/>
      <family val="2"/>
    </font>
    <font>
      <b/>
      <sz val="24"/>
      <color theme="0"/>
      <name val="Arial Narrow"/>
      <family val="2"/>
    </font>
    <font>
      <b/>
      <sz val="20"/>
      <color theme="0"/>
      <name val="Arial"/>
      <family val="2"/>
    </font>
    <font>
      <sz val="20"/>
      <color theme="1"/>
      <name val="Calibri"/>
      <family val="2"/>
      <scheme val="minor"/>
    </font>
    <font>
      <b/>
      <u/>
      <sz val="20"/>
      <color theme="0"/>
      <name val="Arial"/>
      <family val="2"/>
    </font>
    <font>
      <sz val="25"/>
      <color theme="1"/>
      <name val="Calibri"/>
      <family val="2"/>
      <scheme val="minor"/>
    </font>
    <font>
      <sz val="25"/>
      <color theme="1"/>
      <name val="Arial Narrow"/>
      <family val="2"/>
    </font>
    <font>
      <sz val="12"/>
      <name val="Arial"/>
      <family val="2"/>
    </font>
    <font>
      <sz val="11"/>
      <name val="Calibri"/>
      <family val="2"/>
      <scheme val="minor"/>
    </font>
  </fonts>
  <fills count="17">
    <fill>
      <patternFill patternType="none"/>
    </fill>
    <fill>
      <patternFill patternType="gray125"/>
    </fill>
    <fill>
      <patternFill patternType="solid">
        <fgColor theme="3" tint="0.39997558519241921"/>
        <bgColor indexed="64"/>
      </patternFill>
    </fill>
    <fill>
      <patternFill patternType="solid">
        <fgColor theme="3" tint="0.59999389629810485"/>
        <bgColor indexed="64"/>
      </patternFill>
    </fill>
    <fill>
      <patternFill patternType="solid">
        <fgColor theme="0"/>
        <bgColor indexed="64"/>
      </patternFill>
    </fill>
    <fill>
      <patternFill patternType="solid">
        <fgColor theme="4"/>
        <bgColor indexed="64"/>
      </patternFill>
    </fill>
    <fill>
      <patternFill patternType="solid">
        <fgColor rgb="FFFFC000"/>
        <bgColor indexed="64"/>
      </patternFill>
    </fill>
    <fill>
      <patternFill patternType="solid">
        <fgColor rgb="FFFFFF00"/>
        <bgColor indexed="64"/>
      </patternFill>
    </fill>
    <fill>
      <patternFill patternType="solid">
        <fgColor rgb="FFFF0000"/>
        <bgColor indexed="64"/>
      </patternFill>
    </fill>
    <fill>
      <patternFill patternType="solid">
        <fgColor theme="5" tint="-0.249977111117893"/>
        <bgColor indexed="64"/>
      </patternFill>
    </fill>
    <fill>
      <patternFill patternType="solid">
        <fgColor theme="6" tint="-0.249977111117893"/>
        <bgColor indexed="64"/>
      </patternFill>
    </fill>
    <fill>
      <patternFill patternType="solid">
        <fgColor theme="7" tint="-0.249977111117893"/>
        <bgColor indexed="64"/>
      </patternFill>
    </fill>
    <fill>
      <patternFill patternType="solid">
        <fgColor theme="4" tint="-0.249977111117893"/>
        <bgColor indexed="64"/>
      </patternFill>
    </fill>
    <fill>
      <patternFill patternType="solid">
        <fgColor rgb="FFFFCC00"/>
        <bgColor indexed="64"/>
      </patternFill>
    </fill>
    <fill>
      <patternFill patternType="solid">
        <fgColor rgb="FF00B050"/>
        <bgColor indexed="64"/>
      </patternFill>
    </fill>
    <fill>
      <patternFill patternType="solid">
        <fgColor rgb="FF83A343"/>
        <bgColor indexed="64"/>
      </patternFill>
    </fill>
    <fill>
      <patternFill patternType="solid">
        <fgColor theme="9" tint="0.39997558519241921"/>
        <bgColor indexed="64"/>
      </patternFill>
    </fill>
  </fills>
  <borders count="94">
    <border>
      <left/>
      <right/>
      <top/>
      <bottom/>
      <diagonal/>
    </border>
    <border>
      <left/>
      <right/>
      <top style="medium">
        <color auto="1"/>
      </top>
      <bottom style="medium">
        <color auto="1"/>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auto="1"/>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right style="medium">
        <color auto="1"/>
      </right>
      <top style="medium">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style="thin">
        <color indexed="64"/>
      </left>
      <right style="thin">
        <color indexed="64"/>
      </right>
      <top style="medium">
        <color indexed="64"/>
      </top>
      <bottom/>
      <diagonal/>
    </border>
    <border>
      <left style="thin">
        <color indexed="64"/>
      </left>
      <right style="thin">
        <color indexed="64"/>
      </right>
      <top/>
      <bottom/>
      <diagonal/>
    </border>
    <border>
      <left style="thin">
        <color indexed="64"/>
      </left>
      <right style="thin">
        <color indexed="64"/>
      </right>
      <top/>
      <bottom style="medium">
        <color indexed="64"/>
      </bottom>
      <diagonal/>
    </border>
    <border>
      <left style="medium">
        <color indexed="64"/>
      </left>
      <right style="thin">
        <color indexed="64"/>
      </right>
      <top style="medium">
        <color indexed="64"/>
      </top>
      <bottom/>
      <diagonal/>
    </border>
    <border>
      <left style="medium">
        <color indexed="64"/>
      </left>
      <right style="thin">
        <color indexed="64"/>
      </right>
      <top/>
      <bottom/>
      <diagonal/>
    </border>
    <border>
      <left style="medium">
        <color indexed="64"/>
      </left>
      <right style="thin">
        <color indexed="64"/>
      </right>
      <top/>
      <bottom style="medium">
        <color indexed="64"/>
      </bottom>
      <diagonal/>
    </border>
    <border>
      <left style="thick">
        <color auto="1"/>
      </left>
      <right/>
      <top style="thick">
        <color auto="1"/>
      </top>
      <bottom/>
      <diagonal/>
    </border>
    <border>
      <left/>
      <right/>
      <top style="thick">
        <color auto="1"/>
      </top>
      <bottom/>
      <diagonal/>
    </border>
    <border>
      <left/>
      <right style="thick">
        <color auto="1"/>
      </right>
      <top style="thick">
        <color auto="1"/>
      </top>
      <bottom/>
      <diagonal/>
    </border>
    <border>
      <left style="thick">
        <color auto="1"/>
      </left>
      <right/>
      <top/>
      <bottom/>
      <diagonal/>
    </border>
    <border>
      <left/>
      <right style="thick">
        <color auto="1"/>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thin">
        <color rgb="FF81829A"/>
      </left>
      <right/>
      <top style="thin">
        <color rgb="FF81829A"/>
      </top>
      <bottom style="thin">
        <color indexed="64"/>
      </bottom>
      <diagonal/>
    </border>
    <border>
      <left/>
      <right/>
      <top style="thin">
        <color rgb="FF81829A"/>
      </top>
      <bottom style="thin">
        <color indexed="64"/>
      </bottom>
      <diagonal/>
    </border>
    <border>
      <left/>
      <right style="thin">
        <color rgb="FF81829A"/>
      </right>
      <top style="thin">
        <color rgb="FF81829A"/>
      </top>
      <bottom style="thin">
        <color indexed="64"/>
      </bottom>
      <diagonal/>
    </border>
    <border>
      <left/>
      <right/>
      <top style="thin">
        <color auto="1"/>
      </top>
      <bottom/>
      <diagonal/>
    </border>
    <border>
      <left style="thin">
        <color rgb="FF81829A"/>
      </left>
      <right style="thin">
        <color rgb="FF81829A"/>
      </right>
      <top style="thin">
        <color rgb="FF81829A"/>
      </top>
      <bottom style="thin">
        <color rgb="FF81829A"/>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thick">
        <color auto="1"/>
      </left>
      <right/>
      <top/>
      <bottom style="thick">
        <color auto="1"/>
      </bottom>
      <diagonal/>
    </border>
    <border>
      <left/>
      <right/>
      <top/>
      <bottom style="thick">
        <color auto="1"/>
      </bottom>
      <diagonal/>
    </border>
    <border>
      <left/>
      <right style="thick">
        <color auto="1"/>
      </right>
      <top/>
      <bottom style="thick">
        <color auto="1"/>
      </bottom>
      <diagonal/>
    </border>
    <border>
      <left style="medium">
        <color indexed="64"/>
      </left>
      <right style="hair">
        <color indexed="64"/>
      </right>
      <top style="medium">
        <color indexed="64"/>
      </top>
      <bottom style="hair">
        <color indexed="64"/>
      </bottom>
      <diagonal/>
    </border>
    <border>
      <left style="hair">
        <color indexed="64"/>
      </left>
      <right/>
      <top style="medium">
        <color indexed="64"/>
      </top>
      <bottom style="hair">
        <color indexed="64"/>
      </bottom>
      <diagonal/>
    </border>
    <border>
      <left/>
      <right/>
      <top style="medium">
        <color indexed="64"/>
      </top>
      <bottom style="hair">
        <color indexed="64"/>
      </bottom>
      <diagonal/>
    </border>
    <border>
      <left style="hair">
        <color indexed="64"/>
      </left>
      <right style="hair">
        <color indexed="64"/>
      </right>
      <top style="medium">
        <color indexed="64"/>
      </top>
      <bottom/>
      <diagonal/>
    </border>
    <border>
      <left style="hair">
        <color indexed="64"/>
      </left>
      <right style="medium">
        <color indexed="64"/>
      </right>
      <top style="medium">
        <color indexed="64"/>
      </top>
      <bottom style="hair">
        <color indexed="64"/>
      </bottom>
      <diagonal/>
    </border>
    <border>
      <left style="hair">
        <color indexed="64"/>
      </left>
      <right style="hair">
        <color indexed="64"/>
      </right>
      <top/>
      <bottom/>
      <diagonal/>
    </border>
    <border>
      <left style="hair">
        <color indexed="64"/>
      </left>
      <right style="medium">
        <color indexed="64"/>
      </right>
      <top style="hair">
        <color indexed="64"/>
      </top>
      <bottom/>
      <diagonal/>
    </border>
    <border>
      <left style="medium">
        <color indexed="64"/>
      </left>
      <right style="dashed">
        <color indexed="64"/>
      </right>
      <top style="medium">
        <color indexed="64"/>
      </top>
      <bottom style="medium">
        <color indexed="64"/>
      </bottom>
      <diagonal/>
    </border>
    <border>
      <left style="dashed">
        <color indexed="64"/>
      </left>
      <right style="dashed">
        <color indexed="64"/>
      </right>
      <top style="medium">
        <color indexed="64"/>
      </top>
      <bottom style="medium">
        <color indexed="64"/>
      </bottom>
      <diagonal/>
    </border>
    <border>
      <left style="dashed">
        <color indexed="64"/>
      </left>
      <right style="medium">
        <color indexed="64"/>
      </right>
      <top style="medium">
        <color indexed="64"/>
      </top>
      <bottom style="medium">
        <color indexed="64"/>
      </bottom>
      <diagonal/>
    </border>
    <border>
      <left style="medium">
        <color indexed="64"/>
      </left>
      <right style="dashed">
        <color indexed="64"/>
      </right>
      <top/>
      <bottom style="dashed">
        <color indexed="64"/>
      </bottom>
      <diagonal/>
    </border>
    <border>
      <left style="dashed">
        <color indexed="64"/>
      </left>
      <right style="dashed">
        <color indexed="64"/>
      </right>
      <top/>
      <bottom style="dashed">
        <color indexed="64"/>
      </bottom>
      <diagonal/>
    </border>
    <border>
      <left style="dashed">
        <color indexed="64"/>
      </left>
      <right style="medium">
        <color indexed="64"/>
      </right>
      <top/>
      <bottom style="dashed">
        <color indexed="64"/>
      </bottom>
      <diagonal/>
    </border>
    <border>
      <left style="medium">
        <color indexed="64"/>
      </left>
      <right style="dashed">
        <color indexed="64"/>
      </right>
      <top style="dashed">
        <color indexed="64"/>
      </top>
      <bottom style="dashed">
        <color indexed="64"/>
      </bottom>
      <diagonal/>
    </border>
    <border>
      <left style="dashed">
        <color indexed="64"/>
      </left>
      <right style="dashed">
        <color indexed="64"/>
      </right>
      <top style="dashed">
        <color indexed="64"/>
      </top>
      <bottom style="dashed">
        <color indexed="64"/>
      </bottom>
      <diagonal/>
    </border>
    <border>
      <left style="medium">
        <color indexed="64"/>
      </left>
      <right style="dashed">
        <color indexed="64"/>
      </right>
      <top style="dashed">
        <color indexed="64"/>
      </top>
      <bottom style="medium">
        <color indexed="64"/>
      </bottom>
      <diagonal/>
    </border>
    <border>
      <left style="dashed">
        <color indexed="64"/>
      </left>
      <right style="dashed">
        <color indexed="64"/>
      </right>
      <top style="dashed">
        <color indexed="64"/>
      </top>
      <bottom style="medium">
        <color indexed="64"/>
      </bottom>
      <diagonal/>
    </border>
    <border>
      <left style="dashed">
        <color indexed="64"/>
      </left>
      <right style="medium">
        <color indexed="64"/>
      </right>
      <top style="dashed">
        <color indexed="64"/>
      </top>
      <bottom style="medium">
        <color indexed="64"/>
      </bottom>
      <diagonal/>
    </border>
    <border>
      <left/>
      <right/>
      <top style="medium">
        <color indexed="64"/>
      </top>
      <bottom style="thin">
        <color indexed="64"/>
      </bottom>
      <diagonal/>
    </border>
    <border>
      <left style="dashed">
        <color indexed="64"/>
      </left>
      <right/>
      <top style="dashed">
        <color indexed="64"/>
      </top>
      <bottom style="dashed">
        <color indexed="64"/>
      </bottom>
      <diagonal/>
    </border>
    <border>
      <left/>
      <right style="medium">
        <color indexed="64"/>
      </right>
      <top style="dashed">
        <color indexed="64"/>
      </top>
      <bottom style="dashed">
        <color indexed="64"/>
      </bottom>
      <diagonal/>
    </border>
    <border>
      <left style="medium">
        <color indexed="64"/>
      </left>
      <right/>
      <top style="medium">
        <color indexed="64"/>
      </top>
      <bottom style="thin">
        <color indexed="64"/>
      </bottom>
      <diagonal/>
    </border>
    <border>
      <left style="medium">
        <color indexed="64"/>
      </left>
      <right/>
      <top/>
      <bottom/>
      <diagonal/>
    </border>
    <border>
      <left/>
      <right style="medium">
        <color indexed="64"/>
      </right>
      <top/>
      <bottom/>
      <diagonal/>
    </border>
    <border>
      <left style="double">
        <color indexed="64"/>
      </left>
      <right/>
      <top style="double">
        <color indexed="64"/>
      </top>
      <bottom/>
      <diagonal/>
    </border>
    <border>
      <left/>
      <right style="thin">
        <color theme="0"/>
      </right>
      <top style="double">
        <color indexed="64"/>
      </top>
      <bottom/>
      <diagonal/>
    </border>
    <border>
      <left style="thin">
        <color theme="0"/>
      </left>
      <right/>
      <top style="double">
        <color indexed="64"/>
      </top>
      <bottom style="thin">
        <color indexed="64"/>
      </bottom>
      <diagonal/>
    </border>
    <border>
      <left/>
      <right style="double">
        <color indexed="64"/>
      </right>
      <top style="double">
        <color indexed="64"/>
      </top>
      <bottom style="thin">
        <color indexed="64"/>
      </bottom>
      <diagonal/>
    </border>
    <border>
      <left style="hair">
        <color indexed="64"/>
      </left>
      <right/>
      <top style="thin">
        <color indexed="64"/>
      </top>
      <bottom style="hair">
        <color indexed="64"/>
      </bottom>
      <diagonal/>
    </border>
    <border>
      <left/>
      <right style="double">
        <color indexed="64"/>
      </right>
      <top style="thin">
        <color indexed="64"/>
      </top>
      <bottom style="hair">
        <color indexed="64"/>
      </bottom>
      <diagonal/>
    </border>
    <border>
      <left style="double">
        <color indexed="64"/>
      </left>
      <right style="hair">
        <color indexed="64"/>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style="hair">
        <color auto="1"/>
      </left>
      <right/>
      <top style="hair">
        <color auto="1"/>
      </top>
      <bottom style="hair">
        <color auto="1"/>
      </bottom>
      <diagonal/>
    </border>
    <border>
      <left/>
      <right style="double">
        <color indexed="64"/>
      </right>
      <top style="hair">
        <color indexed="64"/>
      </top>
      <bottom style="hair">
        <color indexed="64"/>
      </bottom>
      <diagonal/>
    </border>
    <border>
      <left/>
      <right/>
      <top style="dashed">
        <color indexed="64"/>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double">
        <color indexed="64"/>
      </left>
      <right/>
      <top style="thin">
        <color indexed="64"/>
      </top>
      <bottom style="hair">
        <color indexed="64"/>
      </bottom>
      <diagonal/>
    </border>
    <border>
      <left/>
      <right style="hair">
        <color indexed="64"/>
      </right>
      <top style="thin">
        <color indexed="64"/>
      </top>
      <bottom style="hair">
        <color indexed="64"/>
      </bottom>
      <diagonal/>
    </border>
    <border>
      <left style="double">
        <color indexed="64"/>
      </left>
      <right/>
      <top style="hair">
        <color indexed="64"/>
      </top>
      <bottom style="hair">
        <color indexed="64"/>
      </bottom>
      <diagonal/>
    </border>
    <border>
      <left/>
      <right style="hair">
        <color indexed="64"/>
      </right>
      <top style="hair">
        <color indexed="64"/>
      </top>
      <bottom style="hair">
        <color indexed="64"/>
      </bottom>
      <diagonal/>
    </border>
    <border>
      <left/>
      <right style="thin">
        <color indexed="64"/>
      </right>
      <top style="medium">
        <color indexed="64"/>
      </top>
      <bottom style="thin">
        <color indexed="64"/>
      </bottom>
      <diagonal/>
    </border>
    <border>
      <left/>
      <right style="thin">
        <color indexed="64"/>
      </right>
      <top style="thin">
        <color indexed="64"/>
      </top>
      <bottom style="medium">
        <color indexed="64"/>
      </bottom>
      <diagonal/>
    </border>
    <border>
      <left style="thin">
        <color indexed="64"/>
      </left>
      <right/>
      <top/>
      <bottom/>
      <diagonal/>
    </border>
    <border>
      <left style="hair">
        <color indexed="64"/>
      </left>
      <right style="hair">
        <color indexed="64"/>
      </right>
      <top style="hair">
        <color indexed="64"/>
      </top>
      <bottom/>
      <diagonal/>
    </border>
    <border>
      <left style="medium">
        <color indexed="64"/>
      </left>
      <right style="hair">
        <color indexed="64"/>
      </right>
      <top style="hair">
        <color indexed="64"/>
      </top>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thin">
        <color indexed="64"/>
      </left>
      <right style="medium">
        <color indexed="64"/>
      </right>
      <top style="medium">
        <color indexed="64"/>
      </top>
      <bottom/>
      <diagonal/>
    </border>
    <border>
      <left style="thin">
        <color indexed="64"/>
      </left>
      <right style="medium">
        <color indexed="64"/>
      </right>
      <top/>
      <bottom/>
      <diagonal/>
    </border>
    <border>
      <left style="thin">
        <color indexed="64"/>
      </left>
      <right style="medium">
        <color indexed="64"/>
      </right>
      <top/>
      <bottom style="medium">
        <color indexed="64"/>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medium">
        <color indexed="64"/>
      </left>
      <right style="thin">
        <color indexed="64"/>
      </right>
      <top style="thin">
        <color indexed="64"/>
      </top>
      <bottom/>
      <diagonal/>
    </border>
  </borders>
  <cellStyleXfs count="5">
    <xf numFmtId="0" fontId="0" fillId="0" borderId="0"/>
    <xf numFmtId="9" fontId="3" fillId="0" borderId="0" applyFont="0" applyFill="0" applyBorder="0" applyAlignment="0" applyProtection="0"/>
    <xf numFmtId="0" fontId="21" fillId="0" borderId="0"/>
    <xf numFmtId="0" fontId="29" fillId="0" borderId="0"/>
    <xf numFmtId="0" fontId="33" fillId="0" borderId="0"/>
  </cellStyleXfs>
  <cellXfs count="319">
    <xf numFmtId="0" fontId="0" fillId="0" borderId="0" xfId="0"/>
    <xf numFmtId="0" fontId="0" fillId="4" borderId="0" xfId="0" applyFill="1"/>
    <xf numFmtId="0" fontId="0" fillId="4" borderId="17" xfId="0" applyFill="1" applyBorder="1"/>
    <xf numFmtId="0" fontId="0" fillId="4" borderId="18" xfId="0" applyFill="1" applyBorder="1"/>
    <xf numFmtId="0" fontId="0" fillId="4" borderId="19" xfId="0" applyFill="1" applyBorder="1"/>
    <xf numFmtId="0" fontId="0" fillId="4" borderId="20" xfId="0" applyFill="1" applyBorder="1"/>
    <xf numFmtId="0" fontId="7" fillId="4" borderId="0" xfId="0" applyFont="1" applyFill="1" applyAlignment="1">
      <alignment horizontal="center"/>
    </xf>
    <xf numFmtId="0" fontId="0" fillId="4" borderId="21" xfId="0" applyFill="1" applyBorder="1"/>
    <xf numFmtId="164" fontId="7" fillId="4" borderId="0" xfId="0" applyNumberFormat="1" applyFont="1" applyFill="1" applyAlignment="1">
      <alignment horizontal="center"/>
    </xf>
    <xf numFmtId="0" fontId="8" fillId="4" borderId="0" xfId="0" applyFont="1" applyFill="1" applyAlignment="1">
      <alignment vertical="center"/>
    </xf>
    <xf numFmtId="0" fontId="10" fillId="4" borderId="0" xfId="0" applyFont="1" applyFill="1" applyAlignment="1">
      <alignment horizontal="center" vertical="center"/>
    </xf>
    <xf numFmtId="0" fontId="11" fillId="4" borderId="0" xfId="0" applyFont="1" applyFill="1"/>
    <xf numFmtId="0" fontId="9" fillId="4" borderId="0" xfId="0" applyFont="1" applyFill="1" applyAlignment="1">
      <alignment horizontal="center" vertical="center"/>
    </xf>
    <xf numFmtId="0" fontId="2" fillId="4" borderId="30" xfId="0" applyFont="1" applyFill="1" applyBorder="1" applyAlignment="1">
      <alignment horizontal="center" vertical="center"/>
    </xf>
    <xf numFmtId="0" fontId="2" fillId="4" borderId="0" xfId="0" applyFont="1" applyFill="1" applyAlignment="1">
      <alignment horizontal="center" vertical="center"/>
    </xf>
    <xf numFmtId="0" fontId="12" fillId="4" borderId="0" xfId="0" applyFont="1" applyFill="1" applyAlignment="1">
      <alignment wrapText="1"/>
    </xf>
    <xf numFmtId="0" fontId="13" fillId="4" borderId="0" xfId="0" applyFont="1" applyFill="1" applyAlignment="1">
      <alignment wrapText="1"/>
    </xf>
    <xf numFmtId="0" fontId="5" fillId="0" borderId="0" xfId="0" applyFont="1" applyAlignment="1">
      <alignment vertical="center"/>
    </xf>
    <xf numFmtId="9" fontId="2" fillId="0" borderId="0" xfId="0" applyNumberFormat="1" applyFont="1" applyAlignment="1">
      <alignment vertical="center"/>
    </xf>
    <xf numFmtId="0" fontId="2" fillId="4" borderId="21" xfId="0" applyFont="1" applyFill="1" applyBorder="1" applyAlignment="1">
      <alignment vertical="center"/>
    </xf>
    <xf numFmtId="0" fontId="2" fillId="4" borderId="0" xfId="0" applyFont="1" applyFill="1" applyAlignment="1">
      <alignment vertical="center"/>
    </xf>
    <xf numFmtId="0" fontId="0" fillId="0" borderId="3" xfId="0" applyBorder="1"/>
    <xf numFmtId="0" fontId="5" fillId="4" borderId="0" xfId="0" applyFont="1" applyFill="1" applyAlignment="1">
      <alignment vertical="center"/>
    </xf>
    <xf numFmtId="0" fontId="2" fillId="4" borderId="0" xfId="0" applyFont="1" applyFill="1" applyAlignment="1">
      <alignment horizontal="left" vertical="center"/>
    </xf>
    <xf numFmtId="0" fontId="15" fillId="4" borderId="0" xfId="0" applyFont="1" applyFill="1" applyAlignment="1">
      <alignment vertical="center"/>
    </xf>
    <xf numFmtId="0" fontId="16" fillId="4" borderId="0" xfId="0" applyFont="1" applyFill="1"/>
    <xf numFmtId="0" fontId="0" fillId="4" borderId="34" xfId="0" applyFill="1" applyBorder="1"/>
    <xf numFmtId="0" fontId="0" fillId="4" borderId="35" xfId="0" applyFill="1" applyBorder="1"/>
    <xf numFmtId="0" fontId="0" fillId="4" borderId="36" xfId="0" applyFill="1" applyBorder="1"/>
    <xf numFmtId="0" fontId="20" fillId="0" borderId="0" xfId="0" applyFont="1" applyAlignment="1">
      <alignment horizontal="center" wrapText="1"/>
    </xf>
    <xf numFmtId="0" fontId="5" fillId="4" borderId="0" xfId="0" applyFont="1" applyFill="1" applyAlignment="1">
      <alignment horizontal="center" vertical="center" wrapText="1"/>
    </xf>
    <xf numFmtId="0" fontId="4" fillId="4" borderId="0" xfId="0" applyFont="1" applyFill="1"/>
    <xf numFmtId="0" fontId="5" fillId="4" borderId="0" xfId="0" applyFont="1" applyFill="1" applyAlignment="1">
      <alignment horizontal="left" vertical="center"/>
    </xf>
    <xf numFmtId="9" fontId="5" fillId="4" borderId="0" xfId="0" applyNumberFormat="1" applyFont="1" applyFill="1" applyAlignment="1">
      <alignment horizontal="center" vertical="center"/>
    </xf>
    <xf numFmtId="0" fontId="4" fillId="4" borderId="0" xfId="0" applyFont="1" applyFill="1" applyAlignment="1">
      <alignment horizontal="left"/>
    </xf>
    <xf numFmtId="0" fontId="22" fillId="0" borderId="0" xfId="2" applyFont="1" applyAlignment="1" applyProtection="1">
      <alignment vertical="center"/>
      <protection locked="0"/>
    </xf>
    <xf numFmtId="49" fontId="24" fillId="4" borderId="0" xfId="2" applyNumberFormat="1" applyFont="1" applyFill="1" applyAlignment="1" applyProtection="1">
      <alignment vertical="center"/>
      <protection locked="0"/>
    </xf>
    <xf numFmtId="0" fontId="24" fillId="4" borderId="0" xfId="2" applyFont="1" applyFill="1" applyAlignment="1" applyProtection="1">
      <alignment vertical="center"/>
      <protection locked="0"/>
    </xf>
    <xf numFmtId="9" fontId="26" fillId="4" borderId="0" xfId="2" applyNumberFormat="1" applyFont="1" applyFill="1" applyAlignment="1" applyProtection="1">
      <alignment vertical="center"/>
      <protection locked="0"/>
    </xf>
    <xf numFmtId="9" fontId="22" fillId="4" borderId="0" xfId="1" applyFont="1" applyFill="1" applyAlignment="1" applyProtection="1">
      <alignment vertical="center"/>
      <protection locked="0"/>
    </xf>
    <xf numFmtId="9" fontId="22" fillId="4" borderId="0" xfId="2" applyNumberFormat="1" applyFont="1" applyFill="1" applyAlignment="1" applyProtection="1">
      <alignment vertical="center"/>
      <protection locked="0"/>
    </xf>
    <xf numFmtId="0" fontId="26" fillId="4" borderId="0" xfId="2" applyFont="1" applyFill="1" applyAlignment="1" applyProtection="1">
      <alignment vertical="center"/>
      <protection locked="0"/>
    </xf>
    <xf numFmtId="0" fontId="26" fillId="0" borderId="0" xfId="3" applyFont="1"/>
    <xf numFmtId="0" fontId="7" fillId="4" borderId="0" xfId="0" applyFont="1" applyFill="1"/>
    <xf numFmtId="0" fontId="7" fillId="0" borderId="0" xfId="0" applyFont="1"/>
    <xf numFmtId="0" fontId="36" fillId="0" borderId="0" xfId="0" applyFont="1" applyAlignment="1">
      <alignment vertical="top"/>
    </xf>
    <xf numFmtId="49" fontId="36" fillId="0" borderId="0" xfId="0" applyNumberFormat="1" applyFont="1" applyAlignment="1">
      <alignment horizontal="center" vertical="top"/>
    </xf>
    <xf numFmtId="0" fontId="22" fillId="4" borderId="0" xfId="2" applyFont="1" applyFill="1" applyAlignment="1" applyProtection="1">
      <alignment vertical="center"/>
      <protection locked="0"/>
    </xf>
    <xf numFmtId="0" fontId="26" fillId="4" borderId="0" xfId="3" applyFont="1" applyFill="1"/>
    <xf numFmtId="0" fontId="26" fillId="4" borderId="59" xfId="3" applyFont="1" applyFill="1" applyBorder="1" applyAlignment="1">
      <alignment vertical="top" wrapText="1"/>
    </xf>
    <xf numFmtId="0" fontId="26" fillId="4" borderId="0" xfId="3" applyFont="1" applyFill="1" applyAlignment="1">
      <alignment vertical="top" wrapText="1"/>
    </xf>
    <xf numFmtId="0" fontId="26" fillId="4" borderId="60" xfId="3" applyFont="1" applyFill="1" applyBorder="1" applyAlignment="1">
      <alignment vertical="top" wrapText="1"/>
    </xf>
    <xf numFmtId="0" fontId="26" fillId="4" borderId="59" xfId="3" applyFont="1" applyFill="1" applyBorder="1" applyAlignment="1">
      <alignment horizontal="left" vertical="top"/>
    </xf>
    <xf numFmtId="0" fontId="26" fillId="4" borderId="60" xfId="3" applyFont="1" applyFill="1" applyBorder="1" applyAlignment="1">
      <alignment horizontal="left" vertical="top"/>
    </xf>
    <xf numFmtId="0" fontId="26" fillId="4" borderId="59" xfId="3" applyFont="1" applyFill="1" applyBorder="1"/>
    <xf numFmtId="0" fontId="34" fillId="4" borderId="0" xfId="4" applyFont="1" applyFill="1" applyAlignment="1">
      <alignment horizontal="left" vertical="top" wrapText="1" readingOrder="1"/>
    </xf>
    <xf numFmtId="0" fontId="26" fillId="4" borderId="60" xfId="3" applyFont="1" applyFill="1" applyBorder="1"/>
    <xf numFmtId="0" fontId="26" fillId="4" borderId="72" xfId="3" applyFont="1" applyFill="1" applyBorder="1"/>
    <xf numFmtId="0" fontId="26" fillId="4" borderId="73" xfId="3" applyFont="1" applyFill="1" applyBorder="1"/>
    <xf numFmtId="0" fontId="26" fillId="4" borderId="74" xfId="3" applyFont="1" applyFill="1" applyBorder="1"/>
    <xf numFmtId="0" fontId="34" fillId="4" borderId="0" xfId="0" applyFont="1" applyFill="1" applyAlignment="1">
      <alignment horizontal="left" vertical="center" wrapText="1"/>
    </xf>
    <xf numFmtId="0" fontId="35" fillId="4" borderId="0" xfId="0" applyFont="1" applyFill="1" applyAlignment="1">
      <alignment horizontal="left" vertical="top" wrapText="1"/>
    </xf>
    <xf numFmtId="0" fontId="26" fillId="4" borderId="0" xfId="3" quotePrefix="1" applyFont="1" applyFill="1" applyAlignment="1">
      <alignment horizontal="left" vertical="center" wrapText="1"/>
    </xf>
    <xf numFmtId="0" fontId="32" fillId="4" borderId="0" xfId="3" applyFont="1" applyFill="1" applyAlignment="1">
      <alignment horizontal="left" vertical="center" wrapText="1"/>
    </xf>
    <xf numFmtId="0" fontId="26" fillId="4" borderId="0" xfId="3" applyFont="1" applyFill="1" applyAlignment="1">
      <alignment horizontal="left" vertical="center" wrapText="1"/>
    </xf>
    <xf numFmtId="0" fontId="7" fillId="4" borderId="0" xfId="0" applyFont="1" applyFill="1" applyAlignment="1">
      <alignment vertical="center"/>
    </xf>
    <xf numFmtId="0" fontId="7" fillId="0" borderId="0" xfId="0" applyFont="1" applyAlignment="1">
      <alignment vertical="center"/>
    </xf>
    <xf numFmtId="0" fontId="8" fillId="4" borderId="0" xfId="0" applyFont="1" applyFill="1"/>
    <xf numFmtId="0" fontId="8" fillId="0" borderId="0" xfId="0" applyFont="1" applyAlignment="1">
      <alignment vertical="top"/>
    </xf>
    <xf numFmtId="0" fontId="8" fillId="0" borderId="0" xfId="0" applyFont="1"/>
    <xf numFmtId="0" fontId="44" fillId="9" borderId="11" xfId="0" applyFont="1" applyFill="1" applyBorder="1" applyAlignment="1">
      <alignment horizontal="center" vertical="top" wrapText="1"/>
    </xf>
    <xf numFmtId="49" fontId="45" fillId="5" borderId="7" xfId="0" applyNumberFormat="1" applyFont="1" applyFill="1" applyBorder="1" applyAlignment="1">
      <alignment horizontal="center" vertical="center" wrapText="1"/>
    </xf>
    <xf numFmtId="0" fontId="45" fillId="5" borderId="7" xfId="0" applyFont="1" applyFill="1" applyBorder="1" applyAlignment="1">
      <alignment horizontal="center" vertical="center" wrapText="1"/>
    </xf>
    <xf numFmtId="0" fontId="45" fillId="5" borderId="10" xfId="0" applyFont="1" applyFill="1" applyBorder="1" applyAlignment="1">
      <alignment horizontal="center" vertical="center" wrapText="1"/>
    </xf>
    <xf numFmtId="0" fontId="45" fillId="5" borderId="5" xfId="0" applyFont="1" applyFill="1" applyBorder="1" applyAlignment="1">
      <alignment horizontal="center" vertical="center" wrapText="1"/>
    </xf>
    <xf numFmtId="0" fontId="46" fillId="0" borderId="2" xfId="0" applyFont="1" applyBorder="1" applyAlignment="1">
      <alignment horizontal="center" vertical="center" wrapText="1"/>
    </xf>
    <xf numFmtId="0" fontId="46" fillId="0" borderId="2" xfId="0" applyFont="1" applyBorder="1" applyAlignment="1">
      <alignment horizontal="left" vertical="center" wrapText="1"/>
    </xf>
    <xf numFmtId="0" fontId="46" fillId="0" borderId="3" xfId="0" applyFont="1" applyBorder="1" applyAlignment="1">
      <alignment horizontal="center" vertical="center" wrapText="1"/>
    </xf>
    <xf numFmtId="0" fontId="47" fillId="0" borderId="3" xfId="0" applyFont="1" applyBorder="1" applyAlignment="1">
      <alignment horizontal="left" vertical="center" wrapText="1"/>
    </xf>
    <xf numFmtId="0" fontId="46" fillId="0" borderId="3" xfId="0" applyFont="1" applyBorder="1" applyAlignment="1">
      <alignment horizontal="left" vertical="center" wrapText="1"/>
    </xf>
    <xf numFmtId="0" fontId="46" fillId="0" borderId="4" xfId="0" applyFont="1" applyBorder="1" applyAlignment="1">
      <alignment horizontal="center" vertical="center" wrapText="1"/>
    </xf>
    <xf numFmtId="0" fontId="46" fillId="0" borderId="4" xfId="0" applyFont="1" applyBorder="1" applyAlignment="1">
      <alignment horizontal="left" vertical="center" wrapText="1"/>
    </xf>
    <xf numFmtId="0" fontId="9" fillId="13" borderId="3" xfId="0" applyFont="1" applyFill="1" applyBorder="1" applyAlignment="1">
      <alignment horizontal="center" vertical="center" wrapText="1"/>
    </xf>
    <xf numFmtId="0" fontId="50" fillId="0" borderId="0" xfId="0" applyFont="1" applyAlignment="1">
      <alignment horizontal="center" wrapText="1"/>
    </xf>
    <xf numFmtId="0" fontId="9" fillId="15" borderId="3" xfId="0" applyFont="1" applyFill="1" applyBorder="1" applyAlignment="1">
      <alignment horizontal="center" vertical="center" wrapText="1"/>
    </xf>
    <xf numFmtId="0" fontId="9" fillId="2" borderId="3" xfId="0" applyFont="1" applyFill="1" applyBorder="1" applyAlignment="1">
      <alignment horizontal="center" vertical="center" wrapText="1"/>
    </xf>
    <xf numFmtId="0" fontId="9" fillId="11" borderId="3" xfId="0" applyFont="1" applyFill="1" applyBorder="1" applyAlignment="1">
      <alignment horizontal="center" vertical="center" wrapText="1"/>
    </xf>
    <xf numFmtId="0" fontId="9" fillId="9" borderId="3" xfId="0" applyFont="1" applyFill="1" applyBorder="1" applyAlignment="1">
      <alignment horizontal="center" vertical="center" wrapText="1"/>
    </xf>
    <xf numFmtId="0" fontId="51" fillId="2" borderId="3" xfId="0" applyFont="1" applyFill="1" applyBorder="1" applyAlignment="1">
      <alignment horizontal="center" vertical="center"/>
    </xf>
    <xf numFmtId="0" fontId="42" fillId="0" borderId="3" xfId="0" applyFont="1" applyBorder="1" applyAlignment="1">
      <alignment horizontal="center" vertical="center"/>
    </xf>
    <xf numFmtId="0" fontId="53" fillId="0" borderId="0" xfId="0" applyFont="1" applyAlignment="1">
      <alignment horizontal="center"/>
    </xf>
    <xf numFmtId="0" fontId="52" fillId="12" borderId="31" xfId="0" applyFont="1" applyFill="1" applyBorder="1" applyAlignment="1">
      <alignment horizontal="center" vertical="center" wrapText="1"/>
    </xf>
    <xf numFmtId="0" fontId="42" fillId="0" borderId="0" xfId="0" applyFont="1" applyAlignment="1">
      <alignment horizontal="center" vertical="center" wrapText="1"/>
    </xf>
    <xf numFmtId="0" fontId="25" fillId="4" borderId="0" xfId="2" applyFont="1" applyFill="1" applyAlignment="1">
      <alignment vertical="center" wrapText="1"/>
    </xf>
    <xf numFmtId="0" fontId="35" fillId="4" borderId="0" xfId="2" applyFont="1" applyFill="1" applyAlignment="1">
      <alignment vertical="center" wrapText="1"/>
    </xf>
    <xf numFmtId="0" fontId="36" fillId="0" borderId="0" xfId="0" applyFont="1" applyAlignment="1" applyProtection="1">
      <alignment horizontal="center" vertical="top"/>
      <protection hidden="1"/>
    </xf>
    <xf numFmtId="0" fontId="38" fillId="0" borderId="79" xfId="0" applyFont="1" applyBorder="1" applyAlignment="1" applyProtection="1">
      <alignment horizontal="center" vertical="center" wrapText="1"/>
      <protection hidden="1"/>
    </xf>
    <xf numFmtId="0" fontId="8" fillId="0" borderId="0" xfId="0" applyFont="1" applyAlignment="1" applyProtection="1">
      <alignment horizontal="center" vertical="top"/>
      <protection hidden="1"/>
    </xf>
    <xf numFmtId="0" fontId="39" fillId="0" borderId="9" xfId="0" applyFont="1" applyBorder="1" applyAlignment="1" applyProtection="1">
      <alignment horizontal="center" vertical="center" wrapText="1"/>
      <protection hidden="1"/>
    </xf>
    <xf numFmtId="49" fontId="8" fillId="0" borderId="0" xfId="0" applyNumberFormat="1" applyFont="1" applyAlignment="1" applyProtection="1">
      <alignment horizontal="center" vertical="top"/>
      <protection hidden="1"/>
    </xf>
    <xf numFmtId="0" fontId="38" fillId="0" borderId="9" xfId="0" applyFont="1" applyBorder="1" applyAlignment="1" applyProtection="1">
      <alignment horizontal="center" vertical="center" wrapText="1"/>
      <protection hidden="1"/>
    </xf>
    <xf numFmtId="0" fontId="38" fillId="0" borderId="80" xfId="0" applyFont="1" applyBorder="1" applyAlignment="1" applyProtection="1">
      <alignment horizontal="center" vertical="center" wrapText="1"/>
      <protection hidden="1"/>
    </xf>
    <xf numFmtId="0" fontId="8" fillId="0" borderId="0" xfId="0" applyFont="1" applyAlignment="1" applyProtection="1">
      <alignment vertical="top"/>
      <protection hidden="1"/>
    </xf>
    <xf numFmtId="0" fontId="43" fillId="0" borderId="2" xfId="0" applyFont="1" applyBorder="1" applyAlignment="1" applyProtection="1">
      <alignment horizontal="center" vertical="center" wrapText="1"/>
      <protection locked="0"/>
    </xf>
    <xf numFmtId="0" fontId="36" fillId="0" borderId="79" xfId="0" applyFont="1" applyBorder="1" applyAlignment="1" applyProtection="1">
      <alignment horizontal="left" vertical="center" wrapText="1"/>
      <protection locked="0"/>
    </xf>
    <xf numFmtId="0" fontId="43" fillId="0" borderId="3" xfId="0" applyFont="1" applyBorder="1" applyAlignment="1" applyProtection="1">
      <alignment horizontal="center" vertical="center" wrapText="1"/>
      <protection locked="0"/>
    </xf>
    <xf numFmtId="0" fontId="7" fillId="0" borderId="9" xfId="0" applyFont="1" applyBorder="1" applyAlignment="1" applyProtection="1">
      <alignment horizontal="left" vertical="center" wrapText="1"/>
      <protection locked="0"/>
    </xf>
    <xf numFmtId="0" fontId="36" fillId="0" borderId="9" xfId="0" applyFont="1" applyBorder="1" applyAlignment="1" applyProtection="1">
      <alignment horizontal="left" vertical="center" wrapText="1"/>
      <protection locked="0"/>
    </xf>
    <xf numFmtId="0" fontId="43" fillId="0" borderId="4" xfId="0" applyFont="1" applyBorder="1" applyAlignment="1" applyProtection="1">
      <alignment horizontal="center" vertical="center" wrapText="1"/>
      <protection locked="0"/>
    </xf>
    <xf numFmtId="0" fontId="36" fillId="0" borderId="80" xfId="0" applyFont="1" applyBorder="1" applyAlignment="1" applyProtection="1">
      <alignment horizontal="left" vertical="center" wrapText="1"/>
      <protection locked="0"/>
    </xf>
    <xf numFmtId="0" fontId="19" fillId="2" borderId="82" xfId="2" applyFont="1" applyFill="1" applyBorder="1" applyAlignment="1">
      <alignment horizontal="center" vertical="center"/>
    </xf>
    <xf numFmtId="0" fontId="19" fillId="2" borderId="82" xfId="2" applyFont="1" applyFill="1" applyBorder="1" applyAlignment="1">
      <alignment horizontal="center" vertical="center" wrapText="1"/>
    </xf>
    <xf numFmtId="0" fontId="1" fillId="0" borderId="2" xfId="0" applyFont="1" applyBorder="1" applyAlignment="1" applyProtection="1">
      <alignment horizontal="left" vertical="center" wrapText="1"/>
      <protection hidden="1"/>
    </xf>
    <xf numFmtId="0" fontId="0" fillId="0" borderId="2" xfId="0" applyBorder="1" applyAlignment="1" applyProtection="1">
      <alignment horizontal="center" vertical="center"/>
      <protection hidden="1"/>
    </xf>
    <xf numFmtId="0" fontId="40" fillId="0" borderId="84" xfId="0" applyFont="1" applyBorder="1" applyAlignment="1" applyProtection="1">
      <alignment vertical="center" wrapText="1"/>
      <protection hidden="1"/>
    </xf>
    <xf numFmtId="0" fontId="1" fillId="0" borderId="3" xfId="0" applyFont="1" applyBorder="1" applyAlignment="1" applyProtection="1">
      <alignment horizontal="left" vertical="center" wrapText="1"/>
      <protection hidden="1"/>
    </xf>
    <xf numFmtId="0" fontId="0" fillId="0" borderId="3" xfId="0" applyBorder="1" applyAlignment="1" applyProtection="1">
      <alignment horizontal="center" vertical="center"/>
      <protection hidden="1"/>
    </xf>
    <xf numFmtId="0" fontId="40" fillId="0" borderId="85" xfId="0" applyFont="1" applyBorder="1" applyAlignment="1" applyProtection="1">
      <alignment vertical="center" wrapText="1"/>
      <protection hidden="1"/>
    </xf>
    <xf numFmtId="0" fontId="1" fillId="0" borderId="4" xfId="0" applyFont="1" applyBorder="1" applyAlignment="1" applyProtection="1">
      <alignment horizontal="left" vertical="center" wrapText="1"/>
      <protection hidden="1"/>
    </xf>
    <xf numFmtId="0" fontId="0" fillId="0" borderId="4" xfId="0" applyBorder="1" applyAlignment="1" applyProtection="1">
      <alignment horizontal="center" vertical="center"/>
      <protection hidden="1"/>
    </xf>
    <xf numFmtId="0" fontId="40" fillId="0" borderId="86" xfId="0" applyFont="1" applyBorder="1" applyAlignment="1" applyProtection="1">
      <alignment vertical="center" wrapText="1"/>
      <protection hidden="1"/>
    </xf>
    <xf numFmtId="0" fontId="1" fillId="0" borderId="7" xfId="0" applyFont="1" applyBorder="1" applyAlignment="1" applyProtection="1">
      <alignment horizontal="left" vertical="center" wrapText="1"/>
      <protection hidden="1"/>
    </xf>
    <xf numFmtId="0" fontId="0" fillId="0" borderId="7" xfId="0" applyBorder="1" applyAlignment="1" applyProtection="1">
      <alignment horizontal="center" vertical="center"/>
      <protection hidden="1"/>
    </xf>
    <xf numFmtId="0" fontId="40" fillId="0" borderId="5" xfId="0" applyFont="1" applyBorder="1" applyAlignment="1" applyProtection="1">
      <alignment vertical="center" wrapText="1"/>
      <protection hidden="1"/>
    </xf>
    <xf numFmtId="0" fontId="1" fillId="0" borderId="6" xfId="0" applyFont="1" applyBorder="1" applyAlignment="1" applyProtection="1">
      <alignment horizontal="left" vertical="center" wrapText="1"/>
      <protection hidden="1"/>
    </xf>
    <xf numFmtId="0" fontId="0" fillId="0" borderId="6" xfId="0" applyBorder="1" applyAlignment="1" applyProtection="1">
      <alignment horizontal="center" vertical="center"/>
      <protection hidden="1"/>
    </xf>
    <xf numFmtId="0" fontId="40" fillId="0" borderId="6" xfId="0" applyFont="1" applyBorder="1" applyAlignment="1" applyProtection="1">
      <alignment vertical="center" wrapText="1"/>
      <protection hidden="1"/>
    </xf>
    <xf numFmtId="0" fontId="40" fillId="0" borderId="3" xfId="0" applyFont="1" applyBorder="1" applyAlignment="1" applyProtection="1">
      <alignment vertical="center" wrapText="1"/>
      <protection hidden="1"/>
    </xf>
    <xf numFmtId="0" fontId="40" fillId="0" borderId="7" xfId="0" applyFont="1" applyBorder="1" applyAlignment="1" applyProtection="1">
      <alignment vertical="center" wrapText="1"/>
      <protection hidden="1"/>
    </xf>
    <xf numFmtId="0" fontId="48" fillId="0" borderId="22" xfId="0" applyFont="1" applyBorder="1" applyAlignment="1" applyProtection="1">
      <alignment horizontal="center" vertical="center"/>
      <protection hidden="1"/>
    </xf>
    <xf numFmtId="9" fontId="0" fillId="0" borderId="90" xfId="0" applyNumberFormat="1" applyBorder="1" applyAlignment="1" applyProtection="1">
      <alignment horizontal="center" vertical="center"/>
      <protection hidden="1"/>
    </xf>
    <xf numFmtId="9" fontId="0" fillId="0" borderId="91" xfId="0" applyNumberFormat="1" applyBorder="1" applyAlignment="1" applyProtection="1">
      <alignment horizontal="center" vertical="center"/>
      <protection hidden="1"/>
    </xf>
    <xf numFmtId="9" fontId="0" fillId="0" borderId="92" xfId="0" applyNumberFormat="1" applyBorder="1" applyAlignment="1" applyProtection="1">
      <alignment horizontal="center" vertical="center"/>
      <protection hidden="1"/>
    </xf>
    <xf numFmtId="9" fontId="0" fillId="0" borderId="93" xfId="0" applyNumberFormat="1" applyBorder="1" applyAlignment="1" applyProtection="1">
      <alignment horizontal="center" vertical="center"/>
      <protection hidden="1"/>
    </xf>
    <xf numFmtId="9" fontId="0" fillId="0" borderId="6" xfId="0" applyNumberFormat="1" applyBorder="1" applyAlignment="1" applyProtection="1">
      <alignment horizontal="center" vertical="center"/>
      <protection hidden="1"/>
    </xf>
    <xf numFmtId="9" fontId="0" fillId="0" borderId="3" xfId="0" applyNumberFormat="1" applyBorder="1" applyAlignment="1" applyProtection="1">
      <alignment horizontal="center" vertical="center"/>
      <protection hidden="1"/>
    </xf>
    <xf numFmtId="9" fontId="0" fillId="0" borderId="7" xfId="0" applyNumberFormat="1" applyBorder="1" applyAlignment="1" applyProtection="1">
      <alignment horizontal="center" vertical="center"/>
      <protection hidden="1"/>
    </xf>
    <xf numFmtId="9" fontId="42" fillId="2" borderId="26" xfId="0" applyNumberFormat="1" applyFont="1" applyFill="1" applyBorder="1" applyAlignment="1" applyProtection="1">
      <alignment horizontal="center" vertical="center"/>
      <protection hidden="1"/>
    </xf>
    <xf numFmtId="0" fontId="42" fillId="0" borderId="3" xfId="0" applyFont="1" applyBorder="1" applyAlignment="1" applyProtection="1">
      <alignment horizontal="center" vertical="center"/>
      <protection hidden="1"/>
    </xf>
    <xf numFmtId="9" fontId="14" fillId="14" borderId="3" xfId="0" applyNumberFormat="1" applyFont="1" applyFill="1" applyBorder="1" applyAlignment="1" applyProtection="1">
      <alignment horizontal="center" vertical="center"/>
      <protection hidden="1"/>
    </xf>
    <xf numFmtId="49" fontId="55" fillId="4" borderId="2" xfId="0" applyNumberFormat="1" applyFont="1" applyFill="1" applyBorder="1" applyAlignment="1" applyProtection="1">
      <alignment horizontal="center" vertical="center" wrapText="1"/>
      <protection locked="0"/>
    </xf>
    <xf numFmtId="49" fontId="55" fillId="4" borderId="3" xfId="0" applyNumberFormat="1" applyFont="1" applyFill="1" applyBorder="1" applyAlignment="1" applyProtection="1">
      <alignment horizontal="center" vertical="center" wrapText="1"/>
      <protection locked="0"/>
    </xf>
    <xf numFmtId="49" fontId="55" fillId="4" borderId="4" xfId="0" applyNumberFormat="1" applyFont="1" applyFill="1" applyBorder="1" applyAlignment="1" applyProtection="1">
      <alignment horizontal="center" vertical="center" wrapText="1"/>
      <protection locked="0"/>
    </xf>
    <xf numFmtId="49" fontId="18" fillId="5" borderId="7" xfId="0" applyNumberFormat="1" applyFont="1" applyFill="1" applyBorder="1" applyAlignment="1" applyProtection="1">
      <alignment horizontal="center" vertical="center" wrapText="1"/>
      <protection hidden="1"/>
    </xf>
    <xf numFmtId="0" fontId="18" fillId="5" borderId="7" xfId="0" applyFont="1" applyFill="1" applyBorder="1" applyAlignment="1" applyProtection="1">
      <alignment horizontal="center" vertical="center" wrapText="1"/>
      <protection hidden="1"/>
    </xf>
    <xf numFmtId="0" fontId="18" fillId="5" borderId="10" xfId="0" applyFont="1" applyFill="1" applyBorder="1" applyAlignment="1" applyProtection="1">
      <alignment horizontal="center" vertical="center" wrapText="1"/>
      <protection hidden="1"/>
    </xf>
    <xf numFmtId="0" fontId="18" fillId="5" borderId="81" xfId="0" applyFont="1" applyFill="1" applyBorder="1" applyAlignment="1" applyProtection="1">
      <alignment horizontal="center" vertical="center" wrapText="1"/>
      <protection hidden="1"/>
    </xf>
    <xf numFmtId="0" fontId="0" fillId="0" borderId="0" xfId="0" applyProtection="1">
      <protection hidden="1"/>
    </xf>
    <xf numFmtId="9" fontId="0" fillId="0" borderId="0" xfId="1" applyFont="1" applyProtection="1">
      <protection hidden="1"/>
    </xf>
    <xf numFmtId="10" fontId="0" fillId="0" borderId="0" xfId="1" applyNumberFormat="1" applyFont="1" applyProtection="1">
      <protection hidden="1"/>
    </xf>
    <xf numFmtId="49" fontId="44" fillId="9" borderId="14" xfId="0" applyNumberFormat="1" applyFont="1" applyFill="1" applyBorder="1" applyAlignment="1">
      <alignment horizontal="center" vertical="center" wrapText="1"/>
    </xf>
    <xf numFmtId="49" fontId="44" fillId="9" borderId="11" xfId="0" applyNumberFormat="1" applyFont="1" applyFill="1" applyBorder="1" applyAlignment="1">
      <alignment horizontal="center" vertical="center" wrapText="1"/>
    </xf>
    <xf numFmtId="0" fontId="26" fillId="4" borderId="59" xfId="3" applyFont="1" applyFill="1" applyBorder="1" applyAlignment="1">
      <alignment horizontal="left" vertical="top" wrapText="1"/>
    </xf>
    <xf numFmtId="0" fontId="26" fillId="4" borderId="0" xfId="3" applyFont="1" applyFill="1" applyAlignment="1">
      <alignment horizontal="left" vertical="top" wrapText="1"/>
    </xf>
    <xf numFmtId="0" fontId="26" fillId="4" borderId="60" xfId="3" applyFont="1" applyFill="1" applyBorder="1" applyAlignment="1">
      <alignment horizontal="left" vertical="top" wrapText="1"/>
    </xf>
    <xf numFmtId="0" fontId="26" fillId="4" borderId="0" xfId="3" applyFont="1" applyFill="1"/>
    <xf numFmtId="0" fontId="34" fillId="4" borderId="77" xfId="0" applyFont="1" applyFill="1" applyBorder="1" applyAlignment="1">
      <alignment horizontal="left" vertical="center" wrapText="1"/>
    </xf>
    <xf numFmtId="0" fontId="34" fillId="4" borderId="78" xfId="0" applyFont="1" applyFill="1" applyBorder="1" applyAlignment="1">
      <alignment horizontal="left" vertical="center" wrapText="1"/>
    </xf>
    <xf numFmtId="0" fontId="35" fillId="0" borderId="69" xfId="3" applyFont="1" applyBorder="1" applyAlignment="1">
      <alignment horizontal="left" vertical="center" wrapText="1"/>
    </xf>
    <xf numFmtId="0" fontId="35" fillId="0" borderId="70" xfId="3" applyFont="1" applyBorder="1" applyAlignment="1">
      <alignment horizontal="left" vertical="center" wrapText="1"/>
    </xf>
    <xf numFmtId="0" fontId="17" fillId="2" borderId="44" xfId="2" applyFont="1" applyFill="1" applyBorder="1" applyAlignment="1">
      <alignment horizontal="center" vertical="center" wrapText="1"/>
    </xf>
    <xf numFmtId="0" fontId="17" fillId="2" borderId="45" xfId="2" applyFont="1" applyFill="1" applyBorder="1" applyAlignment="1">
      <alignment horizontal="center" vertical="center" wrapText="1"/>
    </xf>
    <xf numFmtId="0" fontId="25" fillId="7" borderId="50" xfId="2" applyFont="1" applyFill="1" applyBorder="1" applyAlignment="1">
      <alignment horizontal="center" vertical="center"/>
    </xf>
    <xf numFmtId="0" fontId="25" fillId="7" borderId="51" xfId="2" applyFont="1" applyFill="1" applyBorder="1" applyAlignment="1">
      <alignment horizontal="center" vertical="center"/>
    </xf>
    <xf numFmtId="0" fontId="26" fillId="0" borderId="56" xfId="2" applyFont="1" applyBorder="1" applyAlignment="1">
      <alignment horizontal="justify" vertical="center" wrapText="1"/>
    </xf>
    <xf numFmtId="0" fontId="26" fillId="0" borderId="57" xfId="2" applyFont="1" applyBorder="1" applyAlignment="1">
      <alignment horizontal="justify" vertical="center" wrapText="1"/>
    </xf>
    <xf numFmtId="0" fontId="25" fillId="8" borderId="52" xfId="2" applyFont="1" applyFill="1" applyBorder="1" applyAlignment="1">
      <alignment horizontal="center" vertical="center" wrapText="1"/>
    </xf>
    <xf numFmtId="0" fontId="25" fillId="8" borderId="53" xfId="2" applyFont="1" applyFill="1" applyBorder="1" applyAlignment="1">
      <alignment horizontal="center" vertical="center"/>
    </xf>
    <xf numFmtId="0" fontId="26" fillId="0" borderId="53" xfId="2" applyFont="1" applyBorder="1" applyAlignment="1">
      <alignment horizontal="justify" vertical="center" wrapText="1"/>
    </xf>
    <xf numFmtId="0" fontId="26" fillId="0" borderId="54" xfId="2" applyFont="1" applyBorder="1" applyAlignment="1">
      <alignment horizontal="justify" vertical="center" wrapText="1"/>
    </xf>
    <xf numFmtId="0" fontId="37" fillId="4" borderId="71" xfId="2" applyFont="1" applyFill="1" applyBorder="1" applyAlignment="1">
      <alignment horizontal="center" vertical="center" wrapText="1"/>
    </xf>
    <xf numFmtId="0" fontId="24" fillId="4" borderId="71" xfId="2" applyFont="1" applyFill="1" applyBorder="1" applyAlignment="1">
      <alignment horizontal="center" vertical="center" wrapText="1"/>
    </xf>
    <xf numFmtId="0" fontId="17" fillId="2" borderId="46" xfId="2" applyFont="1" applyFill="1" applyBorder="1" applyAlignment="1">
      <alignment horizontal="center" vertical="center" wrapText="1"/>
    </xf>
    <xf numFmtId="0" fontId="25" fillId="14" borderId="47" xfId="2" applyFont="1" applyFill="1" applyBorder="1" applyAlignment="1">
      <alignment horizontal="center" vertical="center"/>
    </xf>
    <xf numFmtId="0" fontId="25" fillId="14" borderId="48" xfId="2" applyFont="1" applyFill="1" applyBorder="1" applyAlignment="1">
      <alignment horizontal="center" vertical="center"/>
    </xf>
    <xf numFmtId="0" fontId="26" fillId="0" borderId="48" xfId="2" applyFont="1" applyBorder="1" applyAlignment="1">
      <alignment horizontal="justify" vertical="center" wrapText="1"/>
    </xf>
    <xf numFmtId="0" fontId="26" fillId="0" borderId="49" xfId="2" applyFont="1" applyBorder="1" applyAlignment="1">
      <alignment horizontal="justify" vertical="center" wrapText="1"/>
    </xf>
    <xf numFmtId="0" fontId="34" fillId="4" borderId="75" xfId="4" applyFont="1" applyFill="1" applyBorder="1" applyAlignment="1">
      <alignment horizontal="left" vertical="center" wrapText="1" readingOrder="1"/>
    </xf>
    <xf numFmtId="0" fontId="34" fillId="4" borderId="76" xfId="4" applyFont="1" applyFill="1" applyBorder="1" applyAlignment="1">
      <alignment horizontal="left" vertical="center" wrapText="1" readingOrder="1"/>
    </xf>
    <xf numFmtId="0" fontId="35" fillId="0" borderId="65" xfId="3" applyFont="1" applyBorder="1" applyAlignment="1">
      <alignment horizontal="left" vertical="center" wrapText="1"/>
    </xf>
    <xf numFmtId="0" fontId="35" fillId="0" borderId="66" xfId="3" applyFont="1" applyBorder="1" applyAlignment="1">
      <alignment horizontal="left" vertical="center" wrapText="1"/>
    </xf>
    <xf numFmtId="0" fontId="34" fillId="4" borderId="67" xfId="0" applyFont="1" applyFill="1" applyBorder="1" applyAlignment="1">
      <alignment horizontal="left" vertical="center" wrapText="1"/>
    </xf>
    <xf numFmtId="0" fontId="34" fillId="4" borderId="68" xfId="0" applyFont="1" applyFill="1" applyBorder="1" applyAlignment="1">
      <alignment horizontal="left" vertical="center" wrapText="1"/>
    </xf>
    <xf numFmtId="0" fontId="35" fillId="0" borderId="69" xfId="3" applyFont="1" applyBorder="1" applyAlignment="1">
      <alignment horizontal="left" vertical="top" wrapText="1"/>
    </xf>
    <xf numFmtId="0" fontId="35" fillId="0" borderId="70" xfId="3" applyFont="1" applyBorder="1" applyAlignment="1">
      <alignment horizontal="left" vertical="top" wrapText="1"/>
    </xf>
    <xf numFmtId="0" fontId="30" fillId="0" borderId="58" xfId="3" applyFont="1" applyBorder="1" applyAlignment="1">
      <alignment horizontal="center" vertical="center" wrapText="1"/>
    </xf>
    <xf numFmtId="0" fontId="30" fillId="0" borderId="55" xfId="3" applyFont="1" applyBorder="1" applyAlignment="1">
      <alignment horizontal="center" vertical="center" wrapText="1"/>
    </xf>
    <xf numFmtId="0" fontId="30" fillId="0" borderId="8" xfId="3" applyFont="1" applyBorder="1" applyAlignment="1">
      <alignment horizontal="center" vertical="center" wrapText="1"/>
    </xf>
    <xf numFmtId="0" fontId="26" fillId="0" borderId="59" xfId="3" quotePrefix="1" applyFont="1" applyBorder="1" applyAlignment="1">
      <alignment horizontal="left" vertical="center" wrapText="1"/>
    </xf>
    <xf numFmtId="0" fontId="26" fillId="0" borderId="0" xfId="3" quotePrefix="1" applyFont="1" applyAlignment="1">
      <alignment horizontal="left" vertical="center" wrapText="1"/>
    </xf>
    <xf numFmtId="0" fontId="26" fillId="0" borderId="60" xfId="3" quotePrefix="1" applyFont="1" applyBorder="1" applyAlignment="1">
      <alignment horizontal="left" vertical="center" wrapText="1"/>
    </xf>
    <xf numFmtId="0" fontId="31" fillId="4" borderId="59" xfId="3" quotePrefix="1" applyFont="1" applyFill="1" applyBorder="1" applyAlignment="1">
      <alignment horizontal="left" vertical="top" wrapText="1"/>
    </xf>
    <xf numFmtId="0" fontId="25" fillId="4" borderId="0" xfId="3" quotePrefix="1" applyFont="1" applyFill="1" applyAlignment="1">
      <alignment horizontal="left" vertical="top" wrapText="1"/>
    </xf>
    <xf numFmtId="0" fontId="25" fillId="4" borderId="60" xfId="3" quotePrefix="1" applyFont="1" applyFill="1" applyBorder="1" applyAlignment="1">
      <alignment horizontal="left" vertical="top" wrapText="1"/>
    </xf>
    <xf numFmtId="0" fontId="26" fillId="4" borderId="59" xfId="3" quotePrefix="1" applyFont="1" applyFill="1" applyBorder="1" applyAlignment="1">
      <alignment horizontal="left" vertical="top" wrapText="1"/>
    </xf>
    <xf numFmtId="0" fontId="26" fillId="4" borderId="0" xfId="3" quotePrefix="1" applyFont="1" applyFill="1" applyAlignment="1">
      <alignment horizontal="left" vertical="top" wrapText="1"/>
    </xf>
    <xf numFmtId="0" fontId="26" fillId="4" borderId="60" xfId="3" quotePrefix="1" applyFont="1" applyFill="1" applyBorder="1" applyAlignment="1">
      <alignment horizontal="left" vertical="top" wrapText="1"/>
    </xf>
    <xf numFmtId="0" fontId="34" fillId="16" borderId="61" xfId="4" applyFont="1" applyFill="1" applyBorder="1" applyAlignment="1">
      <alignment horizontal="center" vertical="center" wrapText="1"/>
    </xf>
    <xf numFmtId="0" fontId="34" fillId="16" borderId="62" xfId="4" applyFont="1" applyFill="1" applyBorder="1" applyAlignment="1">
      <alignment horizontal="center" vertical="center" wrapText="1"/>
    </xf>
    <xf numFmtId="0" fontId="34" fillId="16" borderId="63" xfId="3" applyFont="1" applyFill="1" applyBorder="1" applyAlignment="1">
      <alignment horizontal="center" vertical="center"/>
    </xf>
    <xf numFmtId="0" fontId="34" fillId="16" borderId="64" xfId="3" applyFont="1" applyFill="1" applyBorder="1" applyAlignment="1">
      <alignment horizontal="center" vertical="center"/>
    </xf>
    <xf numFmtId="49" fontId="45" fillId="5" borderId="0" xfId="0" applyNumberFormat="1" applyFont="1" applyFill="1" applyAlignment="1">
      <alignment horizontal="center" vertical="center"/>
    </xf>
    <xf numFmtId="0" fontId="44" fillId="11" borderId="11" xfId="0" applyFont="1" applyFill="1" applyBorder="1" applyAlignment="1">
      <alignment horizontal="center" vertical="center" wrapText="1"/>
    </xf>
    <xf numFmtId="0" fontId="44" fillId="11" borderId="12" xfId="0" applyFont="1" applyFill="1" applyBorder="1" applyAlignment="1">
      <alignment horizontal="center" vertical="center" wrapText="1"/>
    </xf>
    <xf numFmtId="0" fontId="44" fillId="11" borderId="13" xfId="0" applyFont="1" applyFill="1" applyBorder="1" applyAlignment="1">
      <alignment horizontal="center" vertical="center" wrapText="1"/>
    </xf>
    <xf numFmtId="49" fontId="44" fillId="11" borderId="14" xfId="0" applyNumberFormat="1" applyFont="1" applyFill="1" applyBorder="1" applyAlignment="1">
      <alignment horizontal="center" vertical="center" wrapText="1"/>
    </xf>
    <xf numFmtId="49" fontId="44" fillId="11" borderId="15" xfId="0" applyNumberFormat="1" applyFont="1" applyFill="1" applyBorder="1" applyAlignment="1">
      <alignment horizontal="center" vertical="center" wrapText="1"/>
    </xf>
    <xf numFmtId="49" fontId="44" fillId="11" borderId="16" xfId="0" applyNumberFormat="1" applyFont="1" applyFill="1" applyBorder="1" applyAlignment="1">
      <alignment horizontal="center" vertical="center" wrapText="1"/>
    </xf>
    <xf numFmtId="0" fontId="44" fillId="9" borderId="11" xfId="0" applyFont="1" applyFill="1" applyBorder="1" applyAlignment="1">
      <alignment horizontal="center" vertical="center" wrapText="1"/>
    </xf>
    <xf numFmtId="0" fontId="44" fillId="9" borderId="12" xfId="0" applyFont="1" applyFill="1" applyBorder="1" applyAlignment="1">
      <alignment horizontal="center" vertical="center" wrapText="1"/>
    </xf>
    <xf numFmtId="0" fontId="44" fillId="9" borderId="13" xfId="0" applyFont="1" applyFill="1" applyBorder="1" applyAlignment="1">
      <alignment horizontal="center" vertical="center" wrapText="1"/>
    </xf>
    <xf numFmtId="49" fontId="44" fillId="9" borderId="14" xfId="0" applyNumberFormat="1" applyFont="1" applyFill="1" applyBorder="1" applyAlignment="1">
      <alignment horizontal="center" vertical="center" wrapText="1"/>
    </xf>
    <xf numFmtId="49" fontId="44" fillId="9" borderId="15" xfId="0" applyNumberFormat="1" applyFont="1" applyFill="1" applyBorder="1" applyAlignment="1">
      <alignment horizontal="center" vertical="center" wrapText="1"/>
    </xf>
    <xf numFmtId="49" fontId="44" fillId="9" borderId="16" xfId="0" applyNumberFormat="1" applyFont="1" applyFill="1" applyBorder="1" applyAlignment="1">
      <alignment horizontal="center" vertical="center" wrapText="1"/>
    </xf>
    <xf numFmtId="0" fontId="44" fillId="6" borderId="11" xfId="0" applyFont="1" applyFill="1" applyBorder="1" applyAlignment="1">
      <alignment horizontal="center" vertical="center" wrapText="1"/>
    </xf>
    <xf numFmtId="0" fontId="44" fillId="6" borderId="12" xfId="0" applyFont="1" applyFill="1" applyBorder="1" applyAlignment="1">
      <alignment horizontal="center" vertical="center" wrapText="1"/>
    </xf>
    <xf numFmtId="0" fontId="44" fillId="6" borderId="13" xfId="0" applyFont="1" applyFill="1" applyBorder="1" applyAlignment="1">
      <alignment horizontal="center" vertical="center" wrapText="1"/>
    </xf>
    <xf numFmtId="49" fontId="8" fillId="6" borderId="14" xfId="0" applyNumberFormat="1" applyFont="1" applyFill="1" applyBorder="1" applyAlignment="1">
      <alignment horizontal="center" vertical="center" wrapText="1"/>
    </xf>
    <xf numFmtId="49" fontId="8" fillId="6" borderId="15" xfId="0" applyNumberFormat="1" applyFont="1" applyFill="1" applyBorder="1" applyAlignment="1">
      <alignment horizontal="center" vertical="center" wrapText="1"/>
    </xf>
    <xf numFmtId="49" fontId="8" fillId="6" borderId="16" xfId="0" applyNumberFormat="1" applyFont="1" applyFill="1" applyBorder="1" applyAlignment="1">
      <alignment horizontal="center" vertical="center" wrapText="1"/>
    </xf>
    <xf numFmtId="49" fontId="8" fillId="10" borderId="14" xfId="0" applyNumberFormat="1" applyFont="1" applyFill="1" applyBorder="1" applyAlignment="1">
      <alignment horizontal="center" vertical="center" wrapText="1"/>
    </xf>
    <xf numFmtId="49" fontId="8" fillId="10" borderId="15" xfId="0" applyNumberFormat="1" applyFont="1" applyFill="1" applyBorder="1" applyAlignment="1">
      <alignment horizontal="center" vertical="center" wrapText="1"/>
    </xf>
    <xf numFmtId="49" fontId="8" fillId="10" borderId="16" xfId="0" applyNumberFormat="1" applyFont="1" applyFill="1" applyBorder="1" applyAlignment="1">
      <alignment horizontal="center" vertical="center" wrapText="1"/>
    </xf>
    <xf numFmtId="0" fontId="44" fillId="10" borderId="11" xfId="0" applyFont="1" applyFill="1" applyBorder="1" applyAlignment="1">
      <alignment horizontal="center" vertical="center" wrapText="1"/>
    </xf>
    <xf numFmtId="0" fontId="44" fillId="10" borderId="12" xfId="0" applyFont="1" applyFill="1" applyBorder="1" applyAlignment="1">
      <alignment horizontal="center" vertical="center" wrapText="1"/>
    </xf>
    <xf numFmtId="0" fontId="44" fillId="10" borderId="13" xfId="0" applyFont="1" applyFill="1" applyBorder="1" applyAlignment="1">
      <alignment horizontal="center" vertical="center" wrapText="1"/>
    </xf>
    <xf numFmtId="0" fontId="44" fillId="9" borderId="6" xfId="0" applyFont="1" applyFill="1" applyBorder="1" applyAlignment="1">
      <alignment horizontal="center" vertical="center" wrapText="1"/>
    </xf>
    <xf numFmtId="49" fontId="44" fillId="6" borderId="11" xfId="0" applyNumberFormat="1" applyFont="1" applyFill="1" applyBorder="1" applyAlignment="1">
      <alignment horizontal="center" vertical="center" wrapText="1"/>
    </xf>
    <xf numFmtId="49" fontId="44" fillId="6" borderId="12" xfId="0" applyNumberFormat="1" applyFont="1" applyFill="1" applyBorder="1" applyAlignment="1">
      <alignment horizontal="center" vertical="center" wrapText="1"/>
    </xf>
    <xf numFmtId="49" fontId="44" fillId="6" borderId="13" xfId="0" applyNumberFormat="1" applyFont="1" applyFill="1" applyBorder="1" applyAlignment="1">
      <alignment horizontal="center" vertical="center" wrapText="1"/>
    </xf>
    <xf numFmtId="49" fontId="44" fillId="10" borderId="11" xfId="0" applyNumberFormat="1" applyFont="1" applyFill="1" applyBorder="1" applyAlignment="1">
      <alignment horizontal="center" vertical="center" wrapText="1"/>
    </xf>
    <xf numFmtId="49" fontId="44" fillId="10" borderId="12" xfId="0" applyNumberFormat="1" applyFont="1" applyFill="1" applyBorder="1" applyAlignment="1">
      <alignment horizontal="center" vertical="center" wrapText="1"/>
    </xf>
    <xf numFmtId="49" fontId="44" fillId="10" borderId="13" xfId="0" applyNumberFormat="1" applyFont="1" applyFill="1" applyBorder="1" applyAlignment="1">
      <alignment horizontal="center" vertical="center" wrapText="1"/>
    </xf>
    <xf numFmtId="49" fontId="44" fillId="2" borderId="11" xfId="0" applyNumberFormat="1" applyFont="1" applyFill="1" applyBorder="1" applyAlignment="1">
      <alignment horizontal="center" vertical="center" wrapText="1"/>
    </xf>
    <xf numFmtId="49" fontId="44" fillId="2" borderId="12" xfId="0" applyNumberFormat="1" applyFont="1" applyFill="1" applyBorder="1" applyAlignment="1">
      <alignment horizontal="center" vertical="center" wrapText="1"/>
    </xf>
    <xf numFmtId="49" fontId="44" fillId="2" borderId="13" xfId="0" applyNumberFormat="1" applyFont="1" applyFill="1" applyBorder="1" applyAlignment="1">
      <alignment horizontal="center" vertical="center" wrapText="1"/>
    </xf>
    <xf numFmtId="49" fontId="44" fillId="11" borderId="11" xfId="0" applyNumberFormat="1" applyFont="1" applyFill="1" applyBorder="1" applyAlignment="1">
      <alignment horizontal="center" vertical="center" wrapText="1"/>
    </xf>
    <xf numFmtId="49" fontId="44" fillId="11" borderId="12" xfId="0" applyNumberFormat="1" applyFont="1" applyFill="1" applyBorder="1" applyAlignment="1">
      <alignment horizontal="center" vertical="center" wrapText="1"/>
    </xf>
    <xf numFmtId="49" fontId="44" fillId="11" borderId="13" xfId="0" applyNumberFormat="1" applyFont="1" applyFill="1" applyBorder="1" applyAlignment="1">
      <alignment horizontal="center" vertical="center" wrapText="1"/>
    </xf>
    <xf numFmtId="49" fontId="44" fillId="9" borderId="11" xfId="0" applyNumberFormat="1" applyFont="1" applyFill="1" applyBorder="1" applyAlignment="1">
      <alignment horizontal="center" vertical="center" wrapText="1"/>
    </xf>
    <xf numFmtId="49" fontId="44" fillId="9" borderId="12" xfId="0" applyNumberFormat="1" applyFont="1" applyFill="1" applyBorder="1" applyAlignment="1">
      <alignment horizontal="center" vertical="center" wrapText="1"/>
    </xf>
    <xf numFmtId="49" fontId="44" fillId="9" borderId="13" xfId="0" applyNumberFormat="1" applyFont="1" applyFill="1" applyBorder="1" applyAlignment="1">
      <alignment horizontal="center" vertical="center" wrapText="1"/>
    </xf>
    <xf numFmtId="49" fontId="44" fillId="10" borderId="3" xfId="0" applyNumberFormat="1" applyFont="1" applyFill="1" applyBorder="1" applyAlignment="1">
      <alignment horizontal="center" vertical="center" wrapText="1"/>
    </xf>
    <xf numFmtId="0" fontId="44" fillId="10" borderId="3" xfId="0" applyFont="1" applyFill="1" applyBorder="1" applyAlignment="1">
      <alignment horizontal="center" vertical="center" wrapText="1"/>
    </xf>
    <xf numFmtId="49" fontId="44" fillId="10" borderId="15" xfId="0" applyNumberFormat="1" applyFont="1" applyFill="1" applyBorder="1" applyAlignment="1">
      <alignment horizontal="center" vertical="center" wrapText="1"/>
    </xf>
    <xf numFmtId="49" fontId="44" fillId="2" borderId="14" xfId="0" applyNumberFormat="1" applyFont="1" applyFill="1" applyBorder="1" applyAlignment="1">
      <alignment horizontal="center" vertical="center" wrapText="1"/>
    </xf>
    <xf numFmtId="49" fontId="44" fillId="2" borderId="15" xfId="0" applyNumberFormat="1" applyFont="1" applyFill="1" applyBorder="1" applyAlignment="1">
      <alignment horizontal="center" vertical="center" wrapText="1"/>
    </xf>
    <xf numFmtId="49" fontId="44" fillId="2" borderId="16" xfId="0" applyNumberFormat="1" applyFont="1" applyFill="1" applyBorder="1" applyAlignment="1">
      <alignment horizontal="center" vertical="center" wrapText="1"/>
    </xf>
    <xf numFmtId="0" fontId="44" fillId="2" borderId="11" xfId="0" applyFont="1" applyFill="1" applyBorder="1" applyAlignment="1">
      <alignment horizontal="center" vertical="center" wrapText="1"/>
    </xf>
    <xf numFmtId="0" fontId="44" fillId="2" borderId="12" xfId="0" applyFont="1" applyFill="1" applyBorder="1" applyAlignment="1">
      <alignment horizontal="center" vertical="center" wrapText="1"/>
    </xf>
    <xf numFmtId="0" fontId="44" fillId="2" borderId="13" xfId="0" applyFont="1" applyFill="1" applyBorder="1" applyAlignment="1">
      <alignment horizontal="center" vertical="center" wrapText="1"/>
    </xf>
    <xf numFmtId="0" fontId="6" fillId="2" borderId="24" xfId="0" applyFont="1" applyFill="1" applyBorder="1" applyAlignment="1">
      <alignment horizontal="center" vertical="center"/>
    </xf>
    <xf numFmtId="0" fontId="6" fillId="2" borderId="1" xfId="0" applyFont="1" applyFill="1" applyBorder="1" applyAlignment="1">
      <alignment horizontal="center" vertical="center"/>
    </xf>
    <xf numFmtId="0" fontId="6" fillId="2" borderId="25" xfId="0" applyFont="1" applyFill="1" applyBorder="1" applyAlignment="1">
      <alignment horizontal="center" vertical="center"/>
    </xf>
    <xf numFmtId="0" fontId="19" fillId="3" borderId="32" xfId="2" applyFont="1" applyFill="1" applyBorder="1" applyAlignment="1">
      <alignment horizontal="center" vertical="center" wrapText="1"/>
    </xf>
    <xf numFmtId="0" fontId="19" fillId="3" borderId="33" xfId="2" applyFont="1" applyFill="1" applyBorder="1" applyAlignment="1">
      <alignment horizontal="center" vertical="center" wrapText="1"/>
    </xf>
    <xf numFmtId="0" fontId="23" fillId="6" borderId="14" xfId="0" applyFont="1" applyFill="1" applyBorder="1" applyAlignment="1">
      <alignment horizontal="center" vertical="center" textRotation="90" wrapText="1"/>
    </xf>
    <xf numFmtId="0" fontId="23" fillId="6" borderId="15" xfId="0" applyFont="1" applyFill="1" applyBorder="1" applyAlignment="1">
      <alignment horizontal="center" vertical="center" textRotation="90" wrapText="1"/>
    </xf>
    <xf numFmtId="0" fontId="23" fillId="6" borderId="16" xfId="0" applyFont="1" applyFill="1" applyBorder="1" applyAlignment="1">
      <alignment horizontal="center" vertical="center" textRotation="90" wrapText="1"/>
    </xf>
    <xf numFmtId="0" fontId="19" fillId="2" borderId="37" xfId="2" applyFont="1" applyFill="1" applyBorder="1" applyAlignment="1">
      <alignment horizontal="center" vertical="center" wrapText="1"/>
    </xf>
    <xf numFmtId="0" fontId="19" fillId="2" borderId="83" xfId="2" applyFont="1" applyFill="1" applyBorder="1" applyAlignment="1">
      <alignment horizontal="center" vertical="center" wrapText="1"/>
    </xf>
    <xf numFmtId="0" fontId="19" fillId="2" borderId="38" xfId="2" applyFont="1" applyFill="1" applyBorder="1" applyAlignment="1">
      <alignment horizontal="center" vertical="center" wrapText="1"/>
    </xf>
    <xf numFmtId="0" fontId="19" fillId="2" borderId="39" xfId="2" applyFont="1" applyFill="1" applyBorder="1" applyAlignment="1">
      <alignment horizontal="center" vertical="center" wrapText="1"/>
    </xf>
    <xf numFmtId="0" fontId="19" fillId="2" borderId="40" xfId="2" applyFont="1" applyFill="1" applyBorder="1" applyAlignment="1">
      <alignment horizontal="center" vertical="center" wrapText="1"/>
    </xf>
    <xf numFmtId="0" fontId="19" fillId="2" borderId="42" xfId="2" applyFont="1" applyFill="1" applyBorder="1" applyAlignment="1">
      <alignment horizontal="center" vertical="center" wrapText="1"/>
    </xf>
    <xf numFmtId="0" fontId="19" fillId="2" borderId="41" xfId="2" applyFont="1" applyFill="1" applyBorder="1" applyAlignment="1">
      <alignment horizontal="center" vertical="center" wrapText="1"/>
    </xf>
    <xf numFmtId="0" fontId="19" fillId="2" borderId="43" xfId="2" applyFont="1" applyFill="1" applyBorder="1" applyAlignment="1">
      <alignment horizontal="center" vertical="center" wrapText="1"/>
    </xf>
    <xf numFmtId="9" fontId="41" fillId="0" borderId="87" xfId="0" applyNumberFormat="1" applyFont="1" applyBorder="1" applyAlignment="1" applyProtection="1">
      <alignment horizontal="center" vertical="center"/>
      <protection hidden="1"/>
    </xf>
    <xf numFmtId="9" fontId="41" fillId="0" borderId="88" xfId="0" applyNumberFormat="1" applyFont="1" applyBorder="1" applyAlignment="1" applyProtection="1">
      <alignment horizontal="center" vertical="center"/>
      <protection hidden="1"/>
    </xf>
    <xf numFmtId="9" fontId="28" fillId="7" borderId="84" xfId="1" applyFont="1" applyFill="1" applyBorder="1" applyAlignment="1" applyProtection="1">
      <alignment horizontal="center" vertical="center"/>
      <protection hidden="1"/>
    </xf>
    <xf numFmtId="9" fontId="28" fillId="7" borderId="85" xfId="1" applyFont="1" applyFill="1" applyBorder="1" applyAlignment="1" applyProtection="1">
      <alignment horizontal="center" vertical="center"/>
      <protection hidden="1"/>
    </xf>
    <xf numFmtId="9" fontId="28" fillId="7" borderId="86" xfId="1" applyFont="1" applyFill="1" applyBorder="1" applyAlignment="1" applyProtection="1">
      <alignment horizontal="center" vertical="center"/>
      <protection hidden="1"/>
    </xf>
    <xf numFmtId="0" fontId="27" fillId="9" borderId="14" xfId="0" applyFont="1" applyFill="1" applyBorder="1" applyAlignment="1">
      <alignment horizontal="center" vertical="center" textRotation="90"/>
    </xf>
    <xf numFmtId="0" fontId="27" fillId="9" borderId="15" xfId="0" applyFont="1" applyFill="1" applyBorder="1" applyAlignment="1">
      <alignment horizontal="center" vertical="center" textRotation="90"/>
    </xf>
    <xf numFmtId="0" fontId="27" fillId="9" borderId="16" xfId="0" applyFont="1" applyFill="1" applyBorder="1" applyAlignment="1">
      <alignment horizontal="center" vertical="center" textRotation="90"/>
    </xf>
    <xf numFmtId="9" fontId="41" fillId="4" borderId="87" xfId="0" applyNumberFormat="1" applyFont="1" applyFill="1" applyBorder="1" applyAlignment="1" applyProtection="1">
      <alignment horizontal="center" vertical="center"/>
      <protection hidden="1"/>
    </xf>
    <xf numFmtId="9" fontId="41" fillId="4" borderId="88" xfId="0" applyNumberFormat="1" applyFont="1" applyFill="1" applyBorder="1" applyAlignment="1" applyProtection="1">
      <alignment horizontal="center" vertical="center"/>
      <protection hidden="1"/>
    </xf>
    <xf numFmtId="9" fontId="41" fillId="4" borderId="89" xfId="0" applyNumberFormat="1" applyFont="1" applyFill="1" applyBorder="1" applyAlignment="1" applyProtection="1">
      <alignment horizontal="center" vertical="center"/>
      <protection hidden="1"/>
    </xf>
    <xf numFmtId="0" fontId="27" fillId="11" borderId="15" xfId="0" applyFont="1" applyFill="1" applyBorder="1" applyAlignment="1">
      <alignment horizontal="center" vertical="center" textRotation="90"/>
    </xf>
    <xf numFmtId="0" fontId="27" fillId="2" borderId="14" xfId="0" applyFont="1" applyFill="1" applyBorder="1" applyAlignment="1">
      <alignment horizontal="center" vertical="center" textRotation="90"/>
    </xf>
    <xf numFmtId="0" fontId="27" fillId="2" borderId="15" xfId="0" applyFont="1" applyFill="1" applyBorder="1" applyAlignment="1">
      <alignment horizontal="center" vertical="center" textRotation="90"/>
    </xf>
    <xf numFmtId="0" fontId="27" fillId="2" borderId="16" xfId="0" applyFont="1" applyFill="1" applyBorder="1" applyAlignment="1">
      <alignment horizontal="center" vertical="center" textRotation="90"/>
    </xf>
    <xf numFmtId="9" fontId="41" fillId="0" borderId="89" xfId="0" applyNumberFormat="1" applyFont="1" applyBorder="1" applyAlignment="1" applyProtection="1">
      <alignment horizontal="center" vertical="center"/>
      <protection hidden="1"/>
    </xf>
    <xf numFmtId="0" fontId="27" fillId="10" borderId="14" xfId="0" applyFont="1" applyFill="1" applyBorder="1" applyAlignment="1">
      <alignment horizontal="center" vertical="center" textRotation="90"/>
    </xf>
    <xf numFmtId="0" fontId="27" fillId="10" borderId="15" xfId="0" applyFont="1" applyFill="1" applyBorder="1" applyAlignment="1">
      <alignment horizontal="center" vertical="center" textRotation="90"/>
    </xf>
    <xf numFmtId="0" fontId="0" fillId="0" borderId="24" xfId="0" applyBorder="1" applyAlignment="1" applyProtection="1">
      <alignment horizontal="left" vertical="center" wrapText="1"/>
      <protection locked="0"/>
    </xf>
    <xf numFmtId="0" fontId="0" fillId="0" borderId="1" xfId="0" applyBorder="1" applyAlignment="1" applyProtection="1">
      <alignment horizontal="left" vertical="center" wrapText="1"/>
      <protection locked="0"/>
    </xf>
    <xf numFmtId="0" fontId="0" fillId="0" borderId="25" xfId="0" applyBorder="1" applyAlignment="1" applyProtection="1">
      <alignment horizontal="left" vertical="center" wrapText="1"/>
      <protection locked="0"/>
    </xf>
    <xf numFmtId="0" fontId="52" fillId="12" borderId="0" xfId="0" applyFont="1" applyFill="1" applyAlignment="1">
      <alignment horizontal="center" vertical="center" wrapText="1"/>
    </xf>
    <xf numFmtId="0" fontId="57" fillId="0" borderId="24" xfId="0" applyFont="1" applyBorder="1" applyAlignment="1" applyProtection="1">
      <alignment horizontal="left" vertical="center" wrapText="1"/>
      <protection locked="0"/>
    </xf>
    <xf numFmtId="0" fontId="57" fillId="0" borderId="1" xfId="0" applyFont="1" applyBorder="1" applyAlignment="1" applyProtection="1">
      <alignment horizontal="left" vertical="center"/>
      <protection locked="0"/>
    </xf>
    <xf numFmtId="0" fontId="57" fillId="0" borderId="25" xfId="0" applyFont="1" applyBorder="1" applyAlignment="1" applyProtection="1">
      <alignment horizontal="left" vertical="center"/>
      <protection locked="0"/>
    </xf>
    <xf numFmtId="0" fontId="0" fillId="0" borderId="73" xfId="0" applyBorder="1" applyAlignment="1">
      <alignment horizontal="center"/>
    </xf>
    <xf numFmtId="0" fontId="0" fillId="0" borderId="1" xfId="0" applyBorder="1" applyAlignment="1">
      <alignment horizontal="center"/>
    </xf>
    <xf numFmtId="49" fontId="49" fillId="4" borderId="91" xfId="0" applyNumberFormat="1" applyFont="1" applyFill="1" applyBorder="1" applyAlignment="1">
      <alignment horizontal="left" vertical="center" wrapText="1"/>
    </xf>
    <xf numFmtId="49" fontId="49" fillId="4" borderId="3" xfId="0" applyNumberFormat="1" applyFont="1" applyFill="1" applyBorder="1" applyAlignment="1">
      <alignment horizontal="left" vertical="center" wrapText="1"/>
    </xf>
    <xf numFmtId="49" fontId="49" fillId="4" borderId="92" xfId="0" applyNumberFormat="1" applyFont="1" applyFill="1" applyBorder="1" applyAlignment="1">
      <alignment horizontal="left" vertical="center" wrapText="1"/>
    </xf>
    <xf numFmtId="49" fontId="49" fillId="4" borderId="4" xfId="0" applyNumberFormat="1" applyFont="1" applyFill="1" applyBorder="1" applyAlignment="1">
      <alignment horizontal="left" vertical="center" wrapText="1"/>
    </xf>
    <xf numFmtId="0" fontId="51" fillId="2" borderId="7" xfId="0" applyFont="1" applyFill="1" applyBorder="1" applyAlignment="1">
      <alignment horizontal="center" vertical="center" wrapText="1"/>
    </xf>
    <xf numFmtId="0" fontId="51" fillId="2" borderId="6" xfId="0" applyFont="1" applyFill="1" applyBorder="1" applyAlignment="1">
      <alignment horizontal="center" vertical="center" wrapText="1"/>
    </xf>
    <xf numFmtId="0" fontId="56" fillId="4" borderId="3" xfId="0" applyFont="1" applyFill="1" applyBorder="1" applyAlignment="1" applyProtection="1">
      <alignment horizontal="center" vertical="center"/>
      <protection locked="0"/>
    </xf>
    <xf numFmtId="164" fontId="56" fillId="4" borderId="22" xfId="0" applyNumberFormat="1" applyFont="1" applyFill="1" applyBorder="1" applyAlignment="1" applyProtection="1">
      <alignment horizontal="center" vertical="center"/>
      <protection locked="0"/>
    </xf>
    <xf numFmtId="164" fontId="56" fillId="4" borderId="23" xfId="0" applyNumberFormat="1" applyFont="1" applyFill="1" applyBorder="1" applyAlignment="1" applyProtection="1">
      <alignment horizontal="center" vertical="center"/>
      <protection locked="0"/>
    </xf>
    <xf numFmtId="164" fontId="56" fillId="4" borderId="9" xfId="0" applyNumberFormat="1" applyFont="1" applyFill="1" applyBorder="1" applyAlignment="1" applyProtection="1">
      <alignment horizontal="center" vertical="center"/>
      <protection locked="0"/>
    </xf>
    <xf numFmtId="0" fontId="52" fillId="2" borderId="24" xfId="0" applyFont="1" applyFill="1" applyBorder="1" applyAlignment="1">
      <alignment horizontal="center" vertical="center" wrapText="1"/>
    </xf>
    <xf numFmtId="0" fontId="52" fillId="2" borderId="1" xfId="0" applyFont="1" applyFill="1" applyBorder="1" applyAlignment="1">
      <alignment horizontal="center" vertical="center" wrapText="1"/>
    </xf>
    <xf numFmtId="0" fontId="52" fillId="2" borderId="25" xfId="0" applyFont="1" applyFill="1" applyBorder="1" applyAlignment="1">
      <alignment horizontal="center" vertical="center" wrapText="1"/>
    </xf>
    <xf numFmtId="0" fontId="9" fillId="2" borderId="27" xfId="0" applyFont="1" applyFill="1" applyBorder="1" applyAlignment="1">
      <alignment horizontal="center" vertical="center"/>
    </xf>
    <xf numFmtId="0" fontId="9" fillId="2" borderId="28" xfId="0" applyFont="1" applyFill="1" applyBorder="1" applyAlignment="1">
      <alignment horizontal="center" vertical="center"/>
    </xf>
    <xf numFmtId="0" fontId="9" fillId="2" borderId="29" xfId="0" applyFont="1" applyFill="1" applyBorder="1" applyAlignment="1">
      <alignment horizontal="center" vertical="center"/>
    </xf>
    <xf numFmtId="49" fontId="49" fillId="4" borderId="90" xfId="0" applyNumberFormat="1" applyFont="1" applyFill="1" applyBorder="1" applyAlignment="1">
      <alignment horizontal="left" vertical="center" wrapText="1"/>
    </xf>
    <xf numFmtId="49" fontId="49" fillId="4" borderId="2" xfId="0" applyNumberFormat="1" applyFont="1" applyFill="1" applyBorder="1" applyAlignment="1">
      <alignment horizontal="left" vertical="center" wrapText="1"/>
    </xf>
    <xf numFmtId="49" fontId="0" fillId="4" borderId="2" xfId="0" applyNumberFormat="1" applyFill="1" applyBorder="1" applyAlignment="1" applyProtection="1">
      <alignment horizontal="left" vertical="center" wrapText="1"/>
      <protection locked="0"/>
    </xf>
    <xf numFmtId="49" fontId="0" fillId="4" borderId="84" xfId="0" applyNumberFormat="1" applyFill="1" applyBorder="1" applyAlignment="1" applyProtection="1">
      <alignment horizontal="left" vertical="center" wrapText="1"/>
      <protection locked="0"/>
    </xf>
    <xf numFmtId="49" fontId="0" fillId="4" borderId="3" xfId="0" applyNumberFormat="1" applyFill="1" applyBorder="1" applyAlignment="1" applyProtection="1">
      <alignment horizontal="left" vertical="center" wrapText="1"/>
      <protection locked="0"/>
    </xf>
    <xf numFmtId="49" fontId="0" fillId="4" borderId="85" xfId="0" applyNumberFormat="1" applyFill="1" applyBorder="1" applyAlignment="1" applyProtection="1">
      <alignment horizontal="left" vertical="center" wrapText="1"/>
      <protection locked="0"/>
    </xf>
    <xf numFmtId="49" fontId="58" fillId="4" borderId="4" xfId="0" applyNumberFormat="1" applyFont="1" applyFill="1" applyBorder="1" applyAlignment="1" applyProtection="1">
      <alignment horizontal="left" vertical="center" wrapText="1"/>
      <protection locked="0"/>
    </xf>
    <xf numFmtId="49" fontId="0" fillId="4" borderId="4" xfId="0" applyNumberFormat="1" applyFill="1" applyBorder="1" applyAlignment="1" applyProtection="1">
      <alignment horizontal="left" vertical="center" wrapText="1"/>
      <protection locked="0"/>
    </xf>
    <xf numFmtId="49" fontId="0" fillId="4" borderId="86" xfId="0" applyNumberFormat="1" applyFill="1" applyBorder="1" applyAlignment="1" applyProtection="1">
      <alignment horizontal="left" vertical="center" wrapText="1"/>
      <protection locked="0"/>
    </xf>
  </cellXfs>
  <cellStyles count="5">
    <cellStyle name="Normal" xfId="0" builtinId="0"/>
    <cellStyle name="Normal - Style1 2" xfId="3" xr:uid="{00000000-0005-0000-0000-000001000000}"/>
    <cellStyle name="Normal 2" xfId="2" xr:uid="{00000000-0005-0000-0000-000002000000}"/>
    <cellStyle name="Normal 2 2" xfId="4" xr:uid="{00000000-0005-0000-0000-000003000000}"/>
    <cellStyle name="Porcentaje" xfId="1" builtinId="5"/>
  </cellStyles>
  <dxfs count="20">
    <dxf>
      <fill>
        <patternFill>
          <bgColor rgb="FFFF0000"/>
        </patternFill>
      </fill>
    </dxf>
    <dxf>
      <fill>
        <patternFill>
          <bgColor rgb="FFFFFF00"/>
        </patternFill>
      </fill>
    </dxf>
    <dxf>
      <fill>
        <patternFill>
          <bgColor rgb="FF92D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92D050"/>
        </patternFill>
      </fill>
    </dxf>
    <dxf>
      <fill>
        <patternFill>
          <bgColor rgb="FF00B050"/>
        </patternFill>
      </fill>
    </dxf>
    <dxf>
      <fill>
        <patternFill>
          <bgColor rgb="FFFF0000"/>
        </patternFill>
      </fill>
    </dxf>
    <dxf>
      <fill>
        <patternFill>
          <bgColor rgb="FFFFFF00"/>
        </patternFill>
      </fill>
    </dxf>
    <dxf>
      <fill>
        <patternFill>
          <bgColor rgb="FFFF0000"/>
        </patternFill>
      </fill>
    </dxf>
    <dxf>
      <fill>
        <patternFill>
          <bgColor rgb="FFFFFF00"/>
        </patternFill>
      </fill>
    </dxf>
    <dxf>
      <fill>
        <patternFill>
          <bgColor rgb="FFFF0000"/>
        </patternFill>
      </fill>
    </dxf>
    <dxf>
      <fill>
        <patternFill>
          <bgColor rgb="FFFFFF00"/>
        </patternFill>
      </fill>
    </dxf>
    <dxf>
      <fill>
        <patternFill>
          <bgColor rgb="FF00B050"/>
        </patternFill>
      </fill>
    </dxf>
    <dxf>
      <fill>
        <patternFill>
          <bgColor rgb="FF00B050"/>
        </patternFill>
      </fill>
    </dxf>
    <dxf>
      <fill>
        <patternFill>
          <bgColor rgb="FFFFFF00"/>
        </patternFill>
      </fill>
    </dxf>
    <dxf>
      <fill>
        <patternFill>
          <bgColor rgb="FFFF00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5</xdr:col>
      <xdr:colOff>1050132</xdr:colOff>
      <xdr:row>0</xdr:row>
      <xdr:rowOff>66818</xdr:rowOff>
    </xdr:from>
    <xdr:to>
      <xdr:col>7</xdr:col>
      <xdr:colOff>726282</xdr:colOff>
      <xdr:row>11</xdr:row>
      <xdr:rowOff>47624</xdr:rowOff>
    </xdr:to>
    <xdr:pic>
      <xdr:nvPicPr>
        <xdr:cNvPr id="2" name="Imagen 1">
          <a:extLst>
            <a:ext uri="{FF2B5EF4-FFF2-40B4-BE49-F238E27FC236}">
              <a16:creationId xmlns:a16="http://schemas.microsoft.com/office/drawing/2014/main" id="{00000000-0008-0000-0600-000003000000}"/>
            </a:ext>
          </a:extLst>
        </xdr:cNvPr>
        <xdr:cNvPicPr>
          <a:picLocks noChangeAspect="1"/>
        </xdr:cNvPicPr>
      </xdr:nvPicPr>
      <xdr:blipFill>
        <a:blip xmlns:r="http://schemas.openxmlformats.org/officeDocument/2006/relationships" r:embed="rId1"/>
        <a:stretch>
          <a:fillRect/>
        </a:stretch>
      </xdr:blipFill>
      <xdr:spPr>
        <a:xfrm>
          <a:off x="7169945" y="66818"/>
          <a:ext cx="3676650" cy="2338244"/>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4</xdr:col>
      <xdr:colOff>281667</xdr:colOff>
      <xdr:row>7</xdr:row>
      <xdr:rowOff>102768</xdr:rowOff>
    </xdr:from>
    <xdr:to>
      <xdr:col>6</xdr:col>
      <xdr:colOff>595313</xdr:colOff>
      <xdr:row>14</xdr:row>
      <xdr:rowOff>55289</xdr:rowOff>
    </xdr:to>
    <xdr:pic>
      <xdr:nvPicPr>
        <xdr:cNvPr id="4" name="Imagen 3">
          <a:extLst>
            <a:ext uri="{FF2B5EF4-FFF2-40B4-BE49-F238E27FC236}">
              <a16:creationId xmlns:a16="http://schemas.microsoft.com/office/drawing/2014/main" id="{00000000-0008-0000-0800-000003000000}"/>
            </a:ext>
          </a:extLst>
        </xdr:cNvPr>
        <xdr:cNvPicPr>
          <a:picLocks noChangeAspect="1"/>
        </xdr:cNvPicPr>
      </xdr:nvPicPr>
      <xdr:blipFill>
        <a:blip xmlns:r="http://schemas.openxmlformats.org/officeDocument/2006/relationships" r:embed="rId1"/>
        <a:stretch>
          <a:fillRect/>
        </a:stretch>
      </xdr:blipFill>
      <xdr:spPr>
        <a:xfrm>
          <a:off x="4567917" y="2037534"/>
          <a:ext cx="3959935" cy="2348654"/>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Users/dell/Desktop/cesar/HISTORICOS/2020-04-22_Formato_informe_sci_parametrizado_final.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structivo"/>
      <sheetName val="Definiciones"/>
      <sheetName val="Ambiente de Control"/>
      <sheetName val="Evaluación de riesgos"/>
      <sheetName val="Actividades de control"/>
      <sheetName val="Info y Comunicación"/>
      <sheetName val="Actividades de Monitoreo"/>
      <sheetName val="Analisis de Resultados"/>
      <sheetName val="Conclusiones"/>
      <sheetName val="Hoja1"/>
      <sheetName val="Hoja4"/>
      <sheetName val="Hoja2"/>
    </sheetNames>
    <sheetDataSet>
      <sheetData sheetId="0"/>
      <sheetData sheetId="1"/>
      <sheetData sheetId="2"/>
      <sheetData sheetId="3"/>
      <sheetData sheetId="4"/>
      <sheetData sheetId="5"/>
      <sheetData sheetId="6"/>
      <sheetData sheetId="7"/>
      <sheetData sheetId="8"/>
      <sheetData sheetId="9"/>
      <sheetData sheetId="10"/>
      <sheetData sheetId="11"/>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54"/>
  <sheetViews>
    <sheetView topLeftCell="A25" zoomScale="90" zoomScaleNormal="90" workbookViewId="0">
      <selection activeCell="B3" sqref="B3:H4"/>
    </sheetView>
  </sheetViews>
  <sheetFormatPr baseColWidth="10" defaultColWidth="0" defaultRowHeight="12.75" zeroHeight="1" x14ac:dyDescent="0.2"/>
  <cols>
    <col min="1" max="1" width="3.85546875" style="42" customWidth="1"/>
    <col min="2" max="2" width="15.28515625" style="42" customWidth="1"/>
    <col min="3" max="3" width="17.28515625" style="42" customWidth="1"/>
    <col min="4" max="4" width="28.5703125" style="42" customWidth="1"/>
    <col min="5" max="5" width="12.85546875" style="42" customWidth="1"/>
    <col min="6" max="6" width="47.140625" style="42" customWidth="1"/>
    <col min="7" max="7" width="21.42578125" style="42" customWidth="1"/>
    <col min="8" max="8" width="6.5703125" style="42" customWidth="1"/>
    <col min="9" max="9" width="2.5703125" style="42" customWidth="1"/>
    <col min="10" max="16384" width="11.42578125" style="42" hidden="1"/>
  </cols>
  <sheetData>
    <row r="1" spans="2:8" ht="13.5" thickBot="1" x14ac:dyDescent="0.25"/>
    <row r="2" spans="2:8" ht="73.5" customHeight="1" x14ac:dyDescent="0.2">
      <c r="B2" s="185" t="s">
        <v>0</v>
      </c>
      <c r="C2" s="186"/>
      <c r="D2" s="186"/>
      <c r="E2" s="186"/>
      <c r="F2" s="186"/>
      <c r="G2" s="186"/>
      <c r="H2" s="187"/>
    </row>
    <row r="3" spans="2:8" ht="65.25" customHeight="1" x14ac:dyDescent="0.2">
      <c r="B3" s="188" t="s">
        <v>1</v>
      </c>
      <c r="C3" s="189"/>
      <c r="D3" s="189"/>
      <c r="E3" s="189"/>
      <c r="F3" s="189"/>
      <c r="G3" s="189"/>
      <c r="H3" s="190"/>
    </row>
    <row r="4" spans="2:8" ht="82.5" customHeight="1" x14ac:dyDescent="0.2">
      <c r="B4" s="188"/>
      <c r="C4" s="189"/>
      <c r="D4" s="189"/>
      <c r="E4" s="189"/>
      <c r="F4" s="189"/>
      <c r="G4" s="189"/>
      <c r="H4" s="190"/>
    </row>
    <row r="5" spans="2:8" ht="21.75" customHeight="1" x14ac:dyDescent="0.2">
      <c r="B5" s="191" t="s">
        <v>2</v>
      </c>
      <c r="C5" s="192"/>
      <c r="D5" s="192"/>
      <c r="E5" s="192"/>
      <c r="F5" s="192"/>
      <c r="G5" s="192"/>
      <c r="H5" s="193"/>
    </row>
    <row r="6" spans="2:8" ht="42" customHeight="1" x14ac:dyDescent="0.2">
      <c r="B6" s="194" t="s">
        <v>3</v>
      </c>
      <c r="C6" s="195"/>
      <c r="D6" s="195"/>
      <c r="E6" s="195"/>
      <c r="F6" s="195"/>
      <c r="G6" s="195"/>
      <c r="H6" s="196"/>
    </row>
    <row r="7" spans="2:8" ht="14.25" customHeight="1" x14ac:dyDescent="0.2">
      <c r="B7" s="194"/>
      <c r="C7" s="195"/>
      <c r="D7" s="195"/>
      <c r="E7" s="195"/>
      <c r="F7" s="195"/>
      <c r="G7" s="195"/>
      <c r="H7" s="196"/>
    </row>
    <row r="8" spans="2:8" ht="12.75" customHeight="1" thickBot="1" x14ac:dyDescent="0.25">
      <c r="B8" s="54"/>
      <c r="C8" s="48"/>
      <c r="D8" s="63"/>
      <c r="E8" s="64"/>
      <c r="F8" s="64"/>
      <c r="G8" s="62"/>
      <c r="H8" s="56"/>
    </row>
    <row r="9" spans="2:8" ht="21" customHeight="1" thickTop="1" x14ac:dyDescent="0.2">
      <c r="B9" s="54"/>
      <c r="C9" s="197" t="s">
        <v>4</v>
      </c>
      <c r="D9" s="198"/>
      <c r="E9" s="199" t="s">
        <v>5</v>
      </c>
      <c r="F9" s="200"/>
      <c r="G9" s="48"/>
      <c r="H9" s="56"/>
    </row>
    <row r="10" spans="2:8" ht="37.5" customHeight="1" x14ac:dyDescent="0.2">
      <c r="B10" s="54"/>
      <c r="C10" s="177" t="s">
        <v>6</v>
      </c>
      <c r="D10" s="178"/>
      <c r="E10" s="179" t="s">
        <v>7</v>
      </c>
      <c r="F10" s="180"/>
      <c r="G10" s="48"/>
      <c r="H10" s="56"/>
    </row>
    <row r="11" spans="2:8" ht="39.75" customHeight="1" x14ac:dyDescent="0.2">
      <c r="B11" s="54"/>
      <c r="C11" s="181" t="s">
        <v>8</v>
      </c>
      <c r="D11" s="182"/>
      <c r="E11" s="158" t="s">
        <v>9</v>
      </c>
      <c r="F11" s="159"/>
      <c r="G11" s="48"/>
      <c r="H11" s="56"/>
    </row>
    <row r="12" spans="2:8" ht="59.25" customHeight="1" x14ac:dyDescent="0.2">
      <c r="B12" s="54"/>
      <c r="C12" s="181" t="s">
        <v>10</v>
      </c>
      <c r="D12" s="182"/>
      <c r="E12" s="183" t="s">
        <v>11</v>
      </c>
      <c r="F12" s="184"/>
      <c r="G12" s="48"/>
      <c r="H12" s="56"/>
    </row>
    <row r="13" spans="2:8" ht="33.75" customHeight="1" x14ac:dyDescent="0.2">
      <c r="B13" s="54"/>
      <c r="C13" s="156" t="s">
        <v>12</v>
      </c>
      <c r="D13" s="157"/>
      <c r="E13" s="158" t="s">
        <v>13</v>
      </c>
      <c r="F13" s="159"/>
      <c r="G13" s="48"/>
      <c r="H13" s="56"/>
    </row>
    <row r="14" spans="2:8" ht="19.5" customHeight="1" x14ac:dyDescent="0.2">
      <c r="B14" s="54"/>
      <c r="C14" s="60"/>
      <c r="D14" s="60"/>
      <c r="E14" s="61"/>
      <c r="F14" s="61"/>
      <c r="G14" s="48"/>
      <c r="H14" s="56"/>
    </row>
    <row r="15" spans="2:8" ht="37.5" customHeight="1" thickBot="1" x14ac:dyDescent="0.25">
      <c r="B15" s="152" t="s">
        <v>14</v>
      </c>
      <c r="C15" s="153"/>
      <c r="D15" s="153"/>
      <c r="E15" s="153"/>
      <c r="F15" s="153"/>
      <c r="G15" s="153"/>
      <c r="H15" s="154"/>
    </row>
    <row r="16" spans="2:8" ht="27.75" customHeight="1" thickBot="1" x14ac:dyDescent="0.25">
      <c r="B16" s="54"/>
      <c r="C16" s="160" t="s">
        <v>15</v>
      </c>
      <c r="D16" s="161"/>
      <c r="E16" s="161" t="s">
        <v>16</v>
      </c>
      <c r="F16" s="172"/>
      <c r="G16" s="48"/>
      <c r="H16" s="56"/>
    </row>
    <row r="17" spans="2:8" ht="27.75" customHeight="1" x14ac:dyDescent="0.2">
      <c r="B17" s="54"/>
      <c r="C17" s="173" t="s">
        <v>17</v>
      </c>
      <c r="D17" s="174"/>
      <c r="E17" s="175" t="s">
        <v>18</v>
      </c>
      <c r="F17" s="176"/>
      <c r="G17" s="93"/>
      <c r="H17" s="56"/>
    </row>
    <row r="18" spans="2:8" ht="41.25" customHeight="1" x14ac:dyDescent="0.2">
      <c r="B18" s="54"/>
      <c r="C18" s="162" t="s">
        <v>19</v>
      </c>
      <c r="D18" s="163"/>
      <c r="E18" s="164" t="s">
        <v>20</v>
      </c>
      <c r="F18" s="165"/>
      <c r="G18" s="94"/>
      <c r="H18" s="56"/>
    </row>
    <row r="19" spans="2:8" ht="37.5" customHeight="1" thickBot="1" x14ac:dyDescent="0.25">
      <c r="B19" s="54"/>
      <c r="C19" s="166" t="s">
        <v>21</v>
      </c>
      <c r="D19" s="167"/>
      <c r="E19" s="168" t="s">
        <v>22</v>
      </c>
      <c r="F19" s="169"/>
      <c r="G19" s="94"/>
      <c r="H19" s="56"/>
    </row>
    <row r="20" spans="2:8" ht="11.25" customHeight="1" x14ac:dyDescent="0.2">
      <c r="B20" s="49"/>
      <c r="C20" s="50"/>
      <c r="D20" s="50"/>
      <c r="E20" s="50"/>
      <c r="F20" s="50"/>
      <c r="G20" s="50"/>
      <c r="H20" s="51"/>
    </row>
    <row r="21" spans="2:8" ht="14.25" customHeight="1" x14ac:dyDescent="0.2">
      <c r="B21" s="52"/>
      <c r="C21" s="170"/>
      <c r="D21" s="170"/>
      <c r="E21" s="171"/>
      <c r="F21" s="171"/>
      <c r="G21" s="171"/>
      <c r="H21" s="53"/>
    </row>
    <row r="22" spans="2:8" ht="36" customHeight="1" x14ac:dyDescent="0.2">
      <c r="B22" s="152" t="s">
        <v>23</v>
      </c>
      <c r="C22" s="153"/>
      <c r="D22" s="153"/>
      <c r="E22" s="153"/>
      <c r="F22" s="153"/>
      <c r="G22" s="153"/>
      <c r="H22" s="154"/>
    </row>
    <row r="23" spans="2:8" ht="13.5" x14ac:dyDescent="0.2">
      <c r="B23" s="54"/>
      <c r="C23" s="55"/>
      <c r="D23" s="55"/>
      <c r="E23" s="155"/>
      <c r="F23" s="155"/>
      <c r="G23" s="48"/>
      <c r="H23" s="56"/>
    </row>
    <row r="24" spans="2:8" ht="13.5" thickBot="1" x14ac:dyDescent="0.25">
      <c r="B24" s="57"/>
      <c r="C24" s="58"/>
      <c r="D24" s="58"/>
      <c r="E24" s="58"/>
      <c r="F24" s="58"/>
      <c r="G24" s="58"/>
      <c r="H24" s="59"/>
    </row>
    <row r="25" spans="2:8" x14ac:dyDescent="0.2"/>
    <row r="26" spans="2:8" ht="29.25" customHeight="1" x14ac:dyDescent="0.2"/>
    <row r="27" spans="2:8" ht="26.25" customHeight="1" x14ac:dyDescent="0.2"/>
    <row r="28" spans="2:8" ht="43.5" customHeight="1" x14ac:dyDescent="0.2"/>
    <row r="29" spans="2:8" ht="53.25" customHeight="1" x14ac:dyDescent="0.2"/>
    <row r="30" spans="2:8" x14ac:dyDescent="0.2"/>
    <row r="31" spans="2:8" x14ac:dyDescent="0.2"/>
    <row r="32" spans="2:8" x14ac:dyDescent="0.2"/>
    <row r="33" x14ac:dyDescent="0.2"/>
    <row r="34" x14ac:dyDescent="0.2"/>
    <row r="35" x14ac:dyDescent="0.2"/>
    <row r="36" ht="12.75" customHeight="1" x14ac:dyDescent="0.2"/>
    <row r="37" ht="12.75" customHeight="1" x14ac:dyDescent="0.2"/>
    <row r="38" ht="12.75" customHeight="1" x14ac:dyDescent="0.2"/>
    <row r="39" ht="12.75" customHeight="1" x14ac:dyDescent="0.2"/>
    <row r="40" ht="12.75" customHeight="1" x14ac:dyDescent="0.2"/>
    <row r="41" ht="12.75" customHeight="1" x14ac:dyDescent="0.2"/>
    <row r="42" ht="12.75" customHeight="1" x14ac:dyDescent="0.2"/>
    <row r="43" ht="12.75" customHeight="1" x14ac:dyDescent="0.2"/>
    <row r="44" ht="12.75" customHeight="1" x14ac:dyDescent="0.2"/>
    <row r="45" ht="12.75" customHeight="1" x14ac:dyDescent="0.2"/>
    <row r="46" ht="12.75" customHeight="1" x14ac:dyDescent="0.2"/>
    <row r="47" ht="12.75" customHeight="1" x14ac:dyDescent="0.2"/>
    <row r="48" x14ac:dyDescent="0.2"/>
    <row r="52" x14ac:dyDescent="0.2"/>
    <row r="54" x14ac:dyDescent="0.2"/>
  </sheetData>
  <sheetProtection algorithmName="SHA-512" hashValue="t7sIeOvFa2bhukBsHVcHmO5gG9cifT20ZR8W/o5PL1FLs7w8K+KkEm6wLVbMVfYFM8W9luBRuNKu+qdhAWPM7w==" saltValue="H/shNuEdnFDauevCofk8Sw==" spinCount="100000" sheet="1" objects="1" scenarios="1"/>
  <mergeCells count="27">
    <mergeCell ref="B2:H2"/>
    <mergeCell ref="B3:H4"/>
    <mergeCell ref="B5:H5"/>
    <mergeCell ref="B6:H7"/>
    <mergeCell ref="C9:D9"/>
    <mergeCell ref="E9:F9"/>
    <mergeCell ref="C10:D10"/>
    <mergeCell ref="E10:F10"/>
    <mergeCell ref="C11:D11"/>
    <mergeCell ref="E11:F11"/>
    <mergeCell ref="C12:D12"/>
    <mergeCell ref="E12:F12"/>
    <mergeCell ref="B22:H22"/>
    <mergeCell ref="E23:F23"/>
    <mergeCell ref="C13:D13"/>
    <mergeCell ref="E13:F13"/>
    <mergeCell ref="C16:D16"/>
    <mergeCell ref="C18:D18"/>
    <mergeCell ref="E18:F18"/>
    <mergeCell ref="C19:D19"/>
    <mergeCell ref="E19:F19"/>
    <mergeCell ref="C21:D21"/>
    <mergeCell ref="E21:G21"/>
    <mergeCell ref="B15:H15"/>
    <mergeCell ref="E16:F16"/>
    <mergeCell ref="C17:D17"/>
    <mergeCell ref="E17:F17"/>
  </mergeCell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F59"/>
  <sheetViews>
    <sheetView showGridLines="0" topLeftCell="B51" zoomScale="70" zoomScaleNormal="70" workbookViewId="0">
      <selection activeCell="D50" sqref="D50:D53"/>
    </sheetView>
  </sheetViews>
  <sheetFormatPr baseColWidth="10" defaultColWidth="11.42578125" defaultRowHeight="16.5" x14ac:dyDescent="0.3"/>
  <cols>
    <col min="1" max="1" width="3" style="44" hidden="1" customWidth="1"/>
    <col min="2" max="2" width="9.42578125" style="44" customWidth="1"/>
    <col min="3" max="3" width="25.5703125" style="44" customWidth="1"/>
    <col min="4" max="4" width="46.5703125" style="44" customWidth="1"/>
    <col min="5" max="5" width="10.140625" style="66" customWidth="1"/>
    <col min="6" max="6" width="44.5703125" style="66" customWidth="1"/>
    <col min="7" max="7" width="15.42578125" style="44" customWidth="1"/>
    <col min="8" max="9" width="43" style="44" customWidth="1"/>
    <col min="10" max="12" width="11.42578125" style="69" customWidth="1"/>
    <col min="13" max="24" width="11.42578125" style="44" customWidth="1"/>
    <col min="25" max="16384" width="11.42578125" style="44"/>
  </cols>
  <sheetData>
    <row r="1" spans="1:32" x14ac:dyDescent="0.3">
      <c r="B1" s="43"/>
      <c r="C1" s="43"/>
      <c r="D1" s="43"/>
      <c r="E1" s="65"/>
      <c r="F1" s="65"/>
      <c r="G1" s="43"/>
      <c r="H1" s="43"/>
      <c r="I1" s="43"/>
      <c r="J1" s="67"/>
      <c r="K1" s="67"/>
      <c r="L1" s="67"/>
      <c r="M1" s="43"/>
      <c r="N1" s="43"/>
      <c r="O1" s="43"/>
      <c r="P1" s="43"/>
      <c r="Q1" s="43"/>
      <c r="R1" s="43"/>
      <c r="S1" s="43"/>
      <c r="T1" s="43"/>
      <c r="U1" s="43"/>
      <c r="V1" s="43"/>
      <c r="W1" s="43"/>
      <c r="X1" s="43"/>
    </row>
    <row r="2" spans="1:32" x14ac:dyDescent="0.3">
      <c r="B2" s="43"/>
      <c r="C2" s="43"/>
      <c r="D2" s="43"/>
      <c r="E2" s="65"/>
      <c r="F2" s="65"/>
      <c r="G2" s="43"/>
      <c r="H2" s="43"/>
      <c r="I2" s="43"/>
      <c r="J2" s="67"/>
      <c r="K2" s="67"/>
      <c r="L2" s="67"/>
      <c r="M2" s="43"/>
      <c r="N2" s="43"/>
      <c r="O2" s="43"/>
      <c r="P2" s="43"/>
      <c r="Q2" s="43"/>
      <c r="R2" s="43"/>
      <c r="S2" s="43"/>
      <c r="T2" s="43"/>
      <c r="U2" s="43"/>
      <c r="V2" s="43"/>
      <c r="W2" s="43"/>
      <c r="X2" s="43"/>
    </row>
    <row r="3" spans="1:32" x14ac:dyDescent="0.3">
      <c r="B3" s="43"/>
      <c r="C3" s="43"/>
      <c r="D3" s="43"/>
      <c r="E3" s="65"/>
      <c r="F3" s="65"/>
      <c r="G3" s="43"/>
      <c r="H3" s="43"/>
      <c r="I3" s="43"/>
      <c r="J3" s="67"/>
      <c r="K3" s="67"/>
      <c r="L3" s="67"/>
      <c r="M3" s="43"/>
      <c r="N3" s="43"/>
      <c r="O3" s="43"/>
      <c r="P3" s="43"/>
      <c r="Q3" s="43"/>
      <c r="R3" s="43"/>
      <c r="S3" s="43"/>
      <c r="T3" s="43"/>
      <c r="U3" s="43"/>
      <c r="V3" s="43"/>
      <c r="W3" s="43"/>
      <c r="X3" s="43"/>
    </row>
    <row r="4" spans="1:32" x14ac:dyDescent="0.3">
      <c r="B4" s="43"/>
      <c r="C4" s="43"/>
      <c r="D4" s="43"/>
      <c r="E4" s="65"/>
      <c r="F4" s="65"/>
      <c r="G4" s="43"/>
      <c r="H4" s="43"/>
      <c r="I4" s="43"/>
      <c r="J4" s="67"/>
      <c r="K4" s="67"/>
      <c r="L4" s="67"/>
      <c r="M4" s="43"/>
      <c r="N4" s="43"/>
      <c r="O4" s="43"/>
      <c r="P4" s="43"/>
      <c r="Q4" s="43"/>
      <c r="R4" s="43"/>
      <c r="S4" s="43"/>
      <c r="T4" s="43"/>
      <c r="U4" s="43"/>
      <c r="V4" s="43"/>
      <c r="W4" s="43"/>
      <c r="X4" s="43"/>
    </row>
    <row r="5" spans="1:32" x14ac:dyDescent="0.3">
      <c r="B5" s="43"/>
      <c r="C5" s="43"/>
      <c r="D5" s="43"/>
      <c r="E5" s="65"/>
      <c r="F5" s="65"/>
      <c r="G5" s="43"/>
      <c r="H5" s="43"/>
      <c r="I5" s="43"/>
      <c r="J5" s="67"/>
      <c r="K5" s="67"/>
      <c r="L5" s="67"/>
      <c r="M5" s="43"/>
      <c r="N5" s="43"/>
      <c r="O5" s="43"/>
      <c r="P5" s="43"/>
      <c r="Q5" s="43"/>
      <c r="R5" s="43"/>
      <c r="S5" s="43"/>
      <c r="T5" s="43"/>
      <c r="U5" s="43"/>
      <c r="V5" s="43"/>
      <c r="W5" s="43"/>
      <c r="X5" s="43"/>
    </row>
    <row r="6" spans="1:32" x14ac:dyDescent="0.3">
      <c r="B6" s="43"/>
      <c r="C6" s="43"/>
      <c r="D6" s="43"/>
      <c r="E6" s="65"/>
      <c r="F6" s="65"/>
      <c r="G6" s="43"/>
      <c r="H6" s="43"/>
      <c r="I6" s="43"/>
      <c r="J6" s="67"/>
      <c r="K6" s="67"/>
      <c r="L6" s="67"/>
      <c r="M6" s="43"/>
      <c r="N6" s="43"/>
      <c r="O6" s="43"/>
      <c r="P6" s="43"/>
      <c r="Q6" s="43"/>
      <c r="R6" s="43"/>
      <c r="S6" s="43"/>
      <c r="T6" s="43"/>
      <c r="U6" s="43"/>
      <c r="V6" s="43"/>
      <c r="W6" s="43"/>
      <c r="X6" s="43"/>
    </row>
    <row r="7" spans="1:32" x14ac:dyDescent="0.3">
      <c r="B7" s="43"/>
      <c r="C7" s="43"/>
      <c r="D7" s="43"/>
      <c r="E7" s="65"/>
      <c r="F7" s="65"/>
      <c r="G7" s="43"/>
      <c r="H7" s="43"/>
      <c r="I7" s="43"/>
      <c r="J7" s="67"/>
      <c r="K7" s="67"/>
      <c r="L7" s="67"/>
      <c r="M7" s="43"/>
      <c r="N7" s="43"/>
      <c r="O7" s="43"/>
      <c r="P7" s="43"/>
      <c r="Q7" s="43"/>
      <c r="R7" s="43"/>
      <c r="S7" s="43"/>
      <c r="T7" s="43"/>
      <c r="U7" s="43"/>
      <c r="V7" s="43"/>
      <c r="W7" s="43"/>
      <c r="X7" s="43"/>
    </row>
    <row r="8" spans="1:32" x14ac:dyDescent="0.3">
      <c r="B8" s="43"/>
      <c r="C8" s="43"/>
      <c r="D8" s="43"/>
      <c r="E8" s="65"/>
      <c r="F8" s="65"/>
      <c r="G8" s="43"/>
      <c r="H8" s="43"/>
      <c r="I8" s="43"/>
      <c r="J8" s="67"/>
      <c r="K8" s="67"/>
      <c r="L8" s="67"/>
      <c r="M8" s="43"/>
      <c r="N8" s="43"/>
      <c r="O8" s="43"/>
      <c r="P8" s="43"/>
      <c r="Q8" s="43"/>
      <c r="R8" s="43"/>
      <c r="S8" s="43"/>
      <c r="T8" s="43"/>
      <c r="U8" s="43"/>
      <c r="V8" s="43"/>
      <c r="W8" s="43"/>
      <c r="X8" s="43"/>
    </row>
    <row r="9" spans="1:32" x14ac:dyDescent="0.3">
      <c r="B9" s="43"/>
      <c r="C9" s="43"/>
      <c r="D9" s="43"/>
      <c r="E9" s="65"/>
      <c r="F9" s="65"/>
      <c r="G9" s="43"/>
      <c r="H9" s="43"/>
      <c r="I9" s="43"/>
      <c r="J9" s="67"/>
      <c r="K9" s="67"/>
      <c r="L9" s="67"/>
      <c r="M9" s="43"/>
      <c r="N9" s="43"/>
      <c r="O9" s="43"/>
      <c r="P9" s="43"/>
      <c r="Q9" s="43"/>
      <c r="R9" s="43"/>
      <c r="S9" s="43"/>
      <c r="T9" s="43"/>
      <c r="U9" s="43"/>
      <c r="V9" s="43"/>
      <c r="W9" s="43"/>
      <c r="X9" s="43"/>
    </row>
    <row r="10" spans="1:32" x14ac:dyDescent="0.3">
      <c r="B10" s="43"/>
      <c r="C10" s="43"/>
      <c r="D10" s="43"/>
      <c r="E10" s="65"/>
      <c r="F10" s="65"/>
      <c r="G10" s="43"/>
      <c r="H10" s="43"/>
      <c r="I10" s="43"/>
      <c r="J10" s="67"/>
      <c r="K10" s="67"/>
      <c r="L10" s="67"/>
      <c r="M10" s="43"/>
      <c r="N10" s="43"/>
      <c r="O10" s="43"/>
      <c r="P10" s="43"/>
      <c r="Q10" s="43"/>
      <c r="R10" s="43"/>
      <c r="S10" s="43"/>
      <c r="T10" s="43"/>
      <c r="U10" s="43"/>
      <c r="V10" s="43"/>
      <c r="W10" s="43"/>
      <c r="X10" s="43"/>
    </row>
    <row r="11" spans="1:32" x14ac:dyDescent="0.3">
      <c r="B11" s="43"/>
      <c r="C11" s="43"/>
      <c r="D11" s="43"/>
      <c r="E11" s="65"/>
      <c r="F11" s="65"/>
      <c r="G11" s="43"/>
      <c r="H11" s="43"/>
      <c r="I11" s="43"/>
      <c r="J11" s="67"/>
      <c r="K11" s="67"/>
      <c r="L11" s="67"/>
      <c r="M11" s="43"/>
      <c r="N11" s="43"/>
      <c r="O11" s="43"/>
      <c r="P11" s="43"/>
      <c r="Q11" s="43"/>
      <c r="R11" s="43"/>
      <c r="S11" s="43"/>
      <c r="T11" s="43"/>
      <c r="U11" s="43"/>
      <c r="V11" s="43"/>
      <c r="W11" s="43"/>
      <c r="X11" s="43"/>
    </row>
    <row r="12" spans="1:32" x14ac:dyDescent="0.3">
      <c r="B12" s="43"/>
      <c r="C12" s="43"/>
      <c r="D12" s="43"/>
      <c r="E12" s="65"/>
      <c r="F12" s="65"/>
      <c r="G12" s="43"/>
      <c r="H12" s="43"/>
      <c r="I12" s="43"/>
      <c r="J12" s="67"/>
      <c r="K12" s="67"/>
      <c r="L12" s="67"/>
      <c r="M12" s="43"/>
      <c r="N12" s="43"/>
      <c r="O12" s="43"/>
      <c r="P12" s="43"/>
      <c r="Q12" s="43"/>
      <c r="R12" s="43"/>
      <c r="S12" s="43"/>
      <c r="T12" s="43"/>
      <c r="U12" s="43"/>
      <c r="V12" s="43"/>
      <c r="W12" s="43"/>
      <c r="X12" s="43"/>
    </row>
    <row r="13" spans="1:32" x14ac:dyDescent="0.3">
      <c r="B13" s="43"/>
      <c r="C13" s="43"/>
      <c r="D13" s="43"/>
      <c r="E13" s="65"/>
      <c r="F13" s="65"/>
      <c r="G13" s="43"/>
      <c r="H13" s="43"/>
      <c r="I13" s="43"/>
      <c r="J13" s="67"/>
      <c r="K13" s="67"/>
      <c r="L13" s="67"/>
      <c r="M13" s="43"/>
      <c r="N13" s="43"/>
      <c r="O13" s="43"/>
      <c r="P13" s="43"/>
      <c r="Q13" s="43"/>
      <c r="R13" s="43"/>
      <c r="S13" s="43"/>
      <c r="T13" s="43"/>
      <c r="U13" s="43"/>
      <c r="V13" s="43"/>
      <c r="W13" s="43"/>
      <c r="X13" s="43"/>
    </row>
    <row r="14" spans="1:32" s="46" customFormat="1" ht="49.5" customHeight="1" x14ac:dyDescent="0.25">
      <c r="B14" s="201" t="s">
        <v>24</v>
      </c>
      <c r="C14" s="201"/>
      <c r="D14" s="201"/>
      <c r="E14" s="201"/>
      <c r="F14" s="201"/>
      <c r="G14" s="201"/>
      <c r="H14" s="201"/>
      <c r="I14" s="201"/>
      <c r="J14" s="68"/>
      <c r="K14" s="68"/>
      <c r="L14" s="68"/>
      <c r="M14" s="45"/>
      <c r="N14" s="45"/>
      <c r="O14" s="45"/>
      <c r="P14" s="45"/>
      <c r="Q14" s="45"/>
      <c r="R14" s="45"/>
      <c r="S14" s="45"/>
      <c r="T14" s="45"/>
      <c r="U14" s="45"/>
      <c r="V14" s="45"/>
      <c r="W14" s="45"/>
      <c r="X14" s="45"/>
      <c r="Y14" s="45"/>
      <c r="Z14" s="45"/>
      <c r="AA14" s="45"/>
      <c r="AB14" s="45"/>
      <c r="AC14" s="45"/>
      <c r="AD14" s="45"/>
      <c r="AE14" s="45"/>
      <c r="AF14" s="45"/>
    </row>
    <row r="15" spans="1:32" s="46" customFormat="1" ht="123.75" customHeight="1" thickBot="1" x14ac:dyDescent="0.3">
      <c r="B15" s="71" t="s">
        <v>25</v>
      </c>
      <c r="C15" s="71" t="s">
        <v>6</v>
      </c>
      <c r="D15" s="72" t="s">
        <v>8</v>
      </c>
      <c r="E15" s="73" t="s">
        <v>26</v>
      </c>
      <c r="F15" s="73" t="s">
        <v>27</v>
      </c>
      <c r="G15" s="73" t="s">
        <v>28</v>
      </c>
      <c r="H15" s="74" t="s">
        <v>29</v>
      </c>
      <c r="I15" s="73" t="s">
        <v>30</v>
      </c>
      <c r="J15" s="68"/>
      <c r="K15" s="68"/>
      <c r="L15" s="68"/>
      <c r="M15" s="45"/>
      <c r="N15" s="45"/>
      <c r="O15" s="45"/>
      <c r="P15" s="45"/>
      <c r="Q15" s="45"/>
      <c r="R15" s="45"/>
      <c r="S15" s="45"/>
      <c r="T15" s="45"/>
      <c r="U15" s="45"/>
      <c r="V15" s="45"/>
      <c r="W15" s="45"/>
      <c r="X15" s="45"/>
      <c r="Y15" s="45"/>
      <c r="Z15" s="45"/>
      <c r="AA15" s="45"/>
      <c r="AB15" s="45"/>
      <c r="AC15" s="45"/>
      <c r="AD15" s="45"/>
      <c r="AE15" s="45"/>
      <c r="AF15" s="45"/>
    </row>
    <row r="16" spans="1:32" s="46" customFormat="1" ht="71.25" customHeight="1" x14ac:dyDescent="0.25">
      <c r="A16" s="95" t="str">
        <f>1&amp;E16</f>
        <v>1a</v>
      </c>
      <c r="B16" s="217" t="s">
        <v>31</v>
      </c>
      <c r="C16" s="227" t="s">
        <v>32</v>
      </c>
      <c r="D16" s="214" t="s">
        <v>33</v>
      </c>
      <c r="E16" s="75" t="s">
        <v>34</v>
      </c>
      <c r="F16" s="76" t="s">
        <v>35</v>
      </c>
      <c r="G16" s="103" t="s">
        <v>38</v>
      </c>
      <c r="H16" s="104" t="s">
        <v>190</v>
      </c>
      <c r="I16" s="96" t="str">
        <f>+IF(G16="Si","Mantenimiento del control",IF(G16="En proceso","Oportunidad de mejora","Deficiencia de control"))</f>
        <v>Mantenimiento del control</v>
      </c>
      <c r="J16" s="97">
        <f t="shared" ref="J16:J27" si="0">+IF(G16="Si",20,IF(G16="En proceso",10,0))</f>
        <v>20</v>
      </c>
      <c r="K16" s="97">
        <v>0.123</v>
      </c>
      <c r="L16" s="97">
        <f>+J16+K16</f>
        <v>20.123000000000001</v>
      </c>
    </row>
    <row r="17" spans="1:32" s="46" customFormat="1" ht="63" x14ac:dyDescent="0.25">
      <c r="A17" s="95" t="str">
        <f t="shared" ref="A17:A27" si="1">1&amp;E17</f>
        <v>1b</v>
      </c>
      <c r="B17" s="218"/>
      <c r="C17" s="228"/>
      <c r="D17" s="215"/>
      <c r="E17" s="77" t="s">
        <v>36</v>
      </c>
      <c r="F17" s="78" t="s">
        <v>37</v>
      </c>
      <c r="G17" s="105" t="s">
        <v>38</v>
      </c>
      <c r="H17" s="106" t="s">
        <v>191</v>
      </c>
      <c r="I17" s="98" t="str">
        <f t="shared" ref="I17:I59" si="2">+IF(G17="Si","Mantenimiento del control",IF(G17="En proceso","Oportunidad de mejora","Deficiencia de control"))</f>
        <v>Mantenimiento del control</v>
      </c>
      <c r="J17" s="99">
        <f t="shared" si="0"/>
        <v>20</v>
      </c>
      <c r="K17" s="97">
        <v>0.1234</v>
      </c>
      <c r="L17" s="97">
        <f t="shared" ref="L17:L59" si="3">+J17+K17</f>
        <v>20.1234</v>
      </c>
    </row>
    <row r="18" spans="1:32" s="46" customFormat="1" ht="64.5" customHeight="1" x14ac:dyDescent="0.25">
      <c r="A18" s="95" t="str">
        <f t="shared" si="1"/>
        <v>1c</v>
      </c>
      <c r="B18" s="218"/>
      <c r="C18" s="228"/>
      <c r="D18" s="215"/>
      <c r="E18" s="77" t="s">
        <v>39</v>
      </c>
      <c r="F18" s="79" t="s">
        <v>40</v>
      </c>
      <c r="G18" s="105" t="s">
        <v>38</v>
      </c>
      <c r="H18" s="107" t="s">
        <v>192</v>
      </c>
      <c r="I18" s="100" t="str">
        <f t="shared" si="2"/>
        <v>Mantenimiento del control</v>
      </c>
      <c r="J18" s="99">
        <f t="shared" si="0"/>
        <v>20</v>
      </c>
      <c r="K18" s="97">
        <v>0.12345</v>
      </c>
      <c r="L18" s="97">
        <f t="shared" si="3"/>
        <v>20.123449999999998</v>
      </c>
    </row>
    <row r="19" spans="1:32" s="46" customFormat="1" ht="60" customHeight="1" x14ac:dyDescent="0.25">
      <c r="A19" s="95" t="str">
        <f t="shared" si="1"/>
        <v>1d</v>
      </c>
      <c r="B19" s="218"/>
      <c r="C19" s="228"/>
      <c r="D19" s="215"/>
      <c r="E19" s="77" t="s">
        <v>41</v>
      </c>
      <c r="F19" s="79" t="s">
        <v>42</v>
      </c>
      <c r="G19" s="105" t="s">
        <v>38</v>
      </c>
      <c r="H19" s="107" t="s">
        <v>233</v>
      </c>
      <c r="I19" s="100" t="str">
        <f t="shared" si="2"/>
        <v>Mantenimiento del control</v>
      </c>
      <c r="J19" s="99">
        <f t="shared" si="0"/>
        <v>20</v>
      </c>
      <c r="K19" s="97">
        <v>0.123456</v>
      </c>
      <c r="L19" s="97">
        <f t="shared" si="3"/>
        <v>20.123456000000001</v>
      </c>
    </row>
    <row r="20" spans="1:32" s="46" customFormat="1" ht="51" customHeight="1" x14ac:dyDescent="0.25">
      <c r="A20" s="95" t="str">
        <f t="shared" si="1"/>
        <v>1e</v>
      </c>
      <c r="B20" s="218"/>
      <c r="C20" s="228"/>
      <c r="D20" s="215"/>
      <c r="E20" s="77" t="s">
        <v>43</v>
      </c>
      <c r="F20" s="79" t="s">
        <v>44</v>
      </c>
      <c r="G20" s="105" t="s">
        <v>38</v>
      </c>
      <c r="H20" s="107" t="s">
        <v>198</v>
      </c>
      <c r="I20" s="100" t="str">
        <f t="shared" si="2"/>
        <v>Mantenimiento del control</v>
      </c>
      <c r="J20" s="99">
        <f t="shared" si="0"/>
        <v>20</v>
      </c>
      <c r="K20" s="97">
        <v>0.12345678</v>
      </c>
      <c r="L20" s="97">
        <f t="shared" si="3"/>
        <v>20.123456780000001</v>
      </c>
    </row>
    <row r="21" spans="1:32" s="46" customFormat="1" ht="63.75" customHeight="1" x14ac:dyDescent="0.25">
      <c r="A21" s="95" t="str">
        <f t="shared" si="1"/>
        <v>1f</v>
      </c>
      <c r="B21" s="218"/>
      <c r="C21" s="228"/>
      <c r="D21" s="215"/>
      <c r="E21" s="77" t="s">
        <v>45</v>
      </c>
      <c r="F21" s="79" t="s">
        <v>46</v>
      </c>
      <c r="G21" s="105" t="s">
        <v>38</v>
      </c>
      <c r="H21" s="107" t="s">
        <v>193</v>
      </c>
      <c r="I21" s="100" t="str">
        <f t="shared" si="2"/>
        <v>Mantenimiento del control</v>
      </c>
      <c r="J21" s="99">
        <f t="shared" si="0"/>
        <v>20</v>
      </c>
      <c r="K21" s="97">
        <v>0.123456789</v>
      </c>
      <c r="L21" s="97">
        <f t="shared" si="3"/>
        <v>20.123456788999999</v>
      </c>
    </row>
    <row r="22" spans="1:32" s="46" customFormat="1" ht="65.25" customHeight="1" x14ac:dyDescent="0.25">
      <c r="A22" s="95" t="str">
        <f t="shared" si="1"/>
        <v>1g</v>
      </c>
      <c r="B22" s="218"/>
      <c r="C22" s="228"/>
      <c r="D22" s="215"/>
      <c r="E22" s="77" t="s">
        <v>47</v>
      </c>
      <c r="F22" s="79" t="s">
        <v>48</v>
      </c>
      <c r="G22" s="105" t="s">
        <v>38</v>
      </c>
      <c r="H22" s="107" t="s">
        <v>194</v>
      </c>
      <c r="I22" s="100" t="str">
        <f t="shared" si="2"/>
        <v>Mantenimiento del control</v>
      </c>
      <c r="J22" s="99">
        <f t="shared" si="0"/>
        <v>20</v>
      </c>
      <c r="K22" s="97">
        <v>0.12345678910000001</v>
      </c>
      <c r="L22" s="97">
        <f t="shared" si="3"/>
        <v>20.1234567891</v>
      </c>
    </row>
    <row r="23" spans="1:32" s="46" customFormat="1" ht="62.25" customHeight="1" x14ac:dyDescent="0.25">
      <c r="A23" s="95" t="str">
        <f t="shared" si="1"/>
        <v>1h</v>
      </c>
      <c r="B23" s="218"/>
      <c r="C23" s="228"/>
      <c r="D23" s="215"/>
      <c r="E23" s="77" t="s">
        <v>49</v>
      </c>
      <c r="F23" s="79" t="s">
        <v>50</v>
      </c>
      <c r="G23" s="105" t="s">
        <v>38</v>
      </c>
      <c r="H23" s="107" t="s">
        <v>195</v>
      </c>
      <c r="I23" s="100" t="str">
        <f t="shared" si="2"/>
        <v>Mantenimiento del control</v>
      </c>
      <c r="J23" s="99">
        <f t="shared" si="0"/>
        <v>20</v>
      </c>
      <c r="K23" s="97">
        <v>0.12345678911999999</v>
      </c>
      <c r="L23" s="97">
        <f t="shared" si="3"/>
        <v>20.123456789119999</v>
      </c>
    </row>
    <row r="24" spans="1:32" s="46" customFormat="1" ht="57.75" customHeight="1" x14ac:dyDescent="0.25">
      <c r="A24" s="95" t="str">
        <f t="shared" si="1"/>
        <v>1i</v>
      </c>
      <c r="B24" s="218"/>
      <c r="C24" s="228"/>
      <c r="D24" s="215"/>
      <c r="E24" s="77" t="s">
        <v>51</v>
      </c>
      <c r="F24" s="79" t="s">
        <v>52</v>
      </c>
      <c r="G24" s="105" t="s">
        <v>38</v>
      </c>
      <c r="H24" s="107" t="s">
        <v>202</v>
      </c>
      <c r="I24" s="100" t="str">
        <f t="shared" si="2"/>
        <v>Mantenimiento del control</v>
      </c>
      <c r="J24" s="99">
        <f t="shared" si="0"/>
        <v>20</v>
      </c>
      <c r="K24" s="97">
        <v>0.123456789123</v>
      </c>
      <c r="L24" s="97">
        <f t="shared" si="3"/>
        <v>20.123456789123001</v>
      </c>
    </row>
    <row r="25" spans="1:32" s="46" customFormat="1" ht="52.5" customHeight="1" x14ac:dyDescent="0.25">
      <c r="A25" s="95" t="str">
        <f t="shared" si="1"/>
        <v>1j</v>
      </c>
      <c r="B25" s="218"/>
      <c r="C25" s="228"/>
      <c r="D25" s="215"/>
      <c r="E25" s="77" t="s">
        <v>53</v>
      </c>
      <c r="F25" s="79" t="s">
        <v>54</v>
      </c>
      <c r="G25" s="105" t="s">
        <v>38</v>
      </c>
      <c r="H25" s="107" t="s">
        <v>220</v>
      </c>
      <c r="I25" s="100" t="str">
        <f t="shared" si="2"/>
        <v>Mantenimiento del control</v>
      </c>
      <c r="J25" s="99">
        <f t="shared" si="0"/>
        <v>20</v>
      </c>
      <c r="K25" s="97">
        <v>0.1234567891234</v>
      </c>
      <c r="L25" s="97">
        <f t="shared" si="3"/>
        <v>20.123456789123399</v>
      </c>
    </row>
    <row r="26" spans="1:32" s="46" customFormat="1" ht="90" customHeight="1" x14ac:dyDescent="0.25">
      <c r="A26" s="95" t="str">
        <f t="shared" si="1"/>
        <v>1k</v>
      </c>
      <c r="B26" s="218"/>
      <c r="C26" s="228"/>
      <c r="D26" s="215"/>
      <c r="E26" s="77" t="s">
        <v>55</v>
      </c>
      <c r="F26" s="79" t="s">
        <v>56</v>
      </c>
      <c r="G26" s="105" t="s">
        <v>38</v>
      </c>
      <c r="H26" s="107" t="s">
        <v>197</v>
      </c>
      <c r="I26" s="100" t="str">
        <f t="shared" si="2"/>
        <v>Mantenimiento del control</v>
      </c>
      <c r="J26" s="99">
        <f t="shared" si="0"/>
        <v>20</v>
      </c>
      <c r="K26" s="97">
        <v>0.12345678912345</v>
      </c>
      <c r="L26" s="97">
        <f t="shared" si="3"/>
        <v>20.123456789123448</v>
      </c>
    </row>
    <row r="27" spans="1:32" s="46" customFormat="1" ht="33.75" thickBot="1" x14ac:dyDescent="0.3">
      <c r="A27" s="95" t="str">
        <f t="shared" si="1"/>
        <v>1l</v>
      </c>
      <c r="B27" s="219"/>
      <c r="C27" s="229"/>
      <c r="D27" s="216"/>
      <c r="E27" s="80" t="s">
        <v>57</v>
      </c>
      <c r="F27" s="81" t="s">
        <v>58</v>
      </c>
      <c r="G27" s="108" t="s">
        <v>38</v>
      </c>
      <c r="H27" s="109" t="s">
        <v>196</v>
      </c>
      <c r="I27" s="101" t="str">
        <f t="shared" si="2"/>
        <v>Mantenimiento del control</v>
      </c>
      <c r="J27" s="99">
        <f t="shared" si="0"/>
        <v>20</v>
      </c>
      <c r="K27" s="97">
        <v>0.12345678912345601</v>
      </c>
      <c r="L27" s="97">
        <f t="shared" si="3"/>
        <v>20.123456789123455</v>
      </c>
    </row>
    <row r="28" spans="1:32" s="46" customFormat="1" ht="83.25" customHeight="1" x14ac:dyDescent="0.25">
      <c r="A28" s="95" t="str">
        <f>2&amp;E28</f>
        <v>2a</v>
      </c>
      <c r="B28" s="220" t="s">
        <v>59</v>
      </c>
      <c r="C28" s="230" t="s">
        <v>60</v>
      </c>
      <c r="D28" s="223" t="s">
        <v>61</v>
      </c>
      <c r="E28" s="75" t="s">
        <v>34</v>
      </c>
      <c r="F28" s="76" t="s">
        <v>62</v>
      </c>
      <c r="G28" s="103" t="s">
        <v>38</v>
      </c>
      <c r="H28" s="104" t="s">
        <v>216</v>
      </c>
      <c r="I28" s="96" t="str">
        <f t="shared" si="2"/>
        <v>Mantenimiento del control</v>
      </c>
      <c r="J28" s="97">
        <f>+IF(G28="Si",40,IF(G28="En proceso",30,20))</f>
        <v>40</v>
      </c>
      <c r="K28" s="97">
        <v>0.23</v>
      </c>
      <c r="L28" s="97">
        <f t="shared" si="3"/>
        <v>40.229999999999997</v>
      </c>
    </row>
    <row r="29" spans="1:32" s="46" customFormat="1" ht="63" x14ac:dyDescent="0.25">
      <c r="A29" s="95" t="str">
        <f t="shared" ref="A29:A31" si="4">2&amp;E29</f>
        <v>2b</v>
      </c>
      <c r="B29" s="221"/>
      <c r="C29" s="231"/>
      <c r="D29" s="224"/>
      <c r="E29" s="77" t="s">
        <v>36</v>
      </c>
      <c r="F29" s="79" t="s">
        <v>63</v>
      </c>
      <c r="G29" s="105" t="s">
        <v>38</v>
      </c>
      <c r="H29" s="107" t="s">
        <v>199</v>
      </c>
      <c r="I29" s="100" t="str">
        <f t="shared" si="2"/>
        <v>Mantenimiento del control</v>
      </c>
      <c r="J29" s="97">
        <f>+IF(G29="Si",40,IF(G29="En proceso",30,20))</f>
        <v>40</v>
      </c>
      <c r="K29" s="97">
        <v>0.23400000000000001</v>
      </c>
      <c r="L29" s="97">
        <f t="shared" si="3"/>
        <v>40.234000000000002</v>
      </c>
    </row>
    <row r="30" spans="1:32" s="46" customFormat="1" ht="66" x14ac:dyDescent="0.25">
      <c r="A30" s="95" t="str">
        <f t="shared" si="4"/>
        <v>2c</v>
      </c>
      <c r="B30" s="221"/>
      <c r="C30" s="231"/>
      <c r="D30" s="224"/>
      <c r="E30" s="77" t="s">
        <v>39</v>
      </c>
      <c r="F30" s="79" t="s">
        <v>64</v>
      </c>
      <c r="G30" s="105" t="s">
        <v>38</v>
      </c>
      <c r="H30" s="107" t="s">
        <v>221</v>
      </c>
      <c r="I30" s="100" t="str">
        <f t="shared" si="2"/>
        <v>Mantenimiento del control</v>
      </c>
      <c r="J30" s="97">
        <f>+IF(G30="Si",40,IF(G30="En proceso",30,20))</f>
        <v>40</v>
      </c>
      <c r="K30" s="97">
        <v>0.23449999999999999</v>
      </c>
      <c r="L30" s="97">
        <f t="shared" si="3"/>
        <v>40.234499999999997</v>
      </c>
    </row>
    <row r="31" spans="1:32" s="46" customFormat="1" ht="63.75" thickBot="1" x14ac:dyDescent="0.3">
      <c r="A31" s="95" t="str">
        <f t="shared" si="4"/>
        <v>2d</v>
      </c>
      <c r="B31" s="222"/>
      <c r="C31" s="232"/>
      <c r="D31" s="225"/>
      <c r="E31" s="80" t="s">
        <v>41</v>
      </c>
      <c r="F31" s="81" t="s">
        <v>65</v>
      </c>
      <c r="G31" s="108" t="s">
        <v>38</v>
      </c>
      <c r="H31" s="109" t="s">
        <v>200</v>
      </c>
      <c r="I31" s="101" t="str">
        <f t="shared" si="2"/>
        <v>Mantenimiento del control</v>
      </c>
      <c r="J31" s="97">
        <f>+IF(G31="Si",40,IF(G31="En proceso",30,20))</f>
        <v>40</v>
      </c>
      <c r="K31" s="97">
        <v>0.23455999999999999</v>
      </c>
      <c r="L31" s="97">
        <f t="shared" si="3"/>
        <v>40.234560000000002</v>
      </c>
    </row>
    <row r="32" spans="1:32" s="46" customFormat="1" ht="49.5" customHeight="1" x14ac:dyDescent="0.25">
      <c r="A32" s="95" t="str">
        <f>3&amp;E32</f>
        <v>3a</v>
      </c>
      <c r="B32" s="242" t="s">
        <v>66</v>
      </c>
      <c r="C32" s="242" t="s">
        <v>60</v>
      </c>
      <c r="D32" s="243" t="s">
        <v>67</v>
      </c>
      <c r="E32" s="77" t="s">
        <v>34</v>
      </c>
      <c r="F32" s="79" t="s">
        <v>68</v>
      </c>
      <c r="G32" s="105" t="s">
        <v>38</v>
      </c>
      <c r="H32" s="107" t="s">
        <v>222</v>
      </c>
      <c r="I32" s="100" t="str">
        <f t="shared" si="2"/>
        <v>Mantenimiento del control</v>
      </c>
      <c r="J32" s="97">
        <f t="shared" ref="J32:J37" si="5">+IF(G32="Si",40,IF(G32="En proceso",30,20))</f>
        <v>40</v>
      </c>
      <c r="K32" s="102">
        <v>0.234567</v>
      </c>
      <c r="L32" s="97">
        <f t="shared" ref="L32:L37" si="6">+J32+K32</f>
        <v>40.234566999999998</v>
      </c>
      <c r="M32" s="45"/>
      <c r="N32" s="45"/>
      <c r="O32" s="45"/>
      <c r="P32" s="45"/>
      <c r="Q32" s="45"/>
      <c r="R32" s="45"/>
      <c r="S32" s="45"/>
      <c r="T32" s="45"/>
      <c r="U32" s="45"/>
      <c r="V32" s="45"/>
      <c r="W32" s="45"/>
      <c r="X32" s="45"/>
      <c r="Y32" s="45"/>
      <c r="Z32" s="45"/>
      <c r="AA32" s="45"/>
      <c r="AB32" s="45"/>
      <c r="AC32" s="45"/>
      <c r="AD32" s="45"/>
      <c r="AE32" s="45"/>
      <c r="AF32" s="45"/>
    </row>
    <row r="33" spans="1:32" s="46" customFormat="1" ht="49.5" customHeight="1" x14ac:dyDescent="0.25">
      <c r="A33" s="95" t="str">
        <f t="shared" ref="A33:A34" si="7">3&amp;E33</f>
        <v>3b</v>
      </c>
      <c r="B33" s="242"/>
      <c r="C33" s="242"/>
      <c r="D33" s="243"/>
      <c r="E33" s="77" t="s">
        <v>36</v>
      </c>
      <c r="F33" s="79" t="s">
        <v>69</v>
      </c>
      <c r="G33" s="105" t="s">
        <v>38</v>
      </c>
      <c r="H33" s="107" t="s">
        <v>223</v>
      </c>
      <c r="I33" s="100" t="str">
        <f t="shared" si="2"/>
        <v>Mantenimiento del control</v>
      </c>
      <c r="J33" s="97">
        <f t="shared" si="5"/>
        <v>40</v>
      </c>
      <c r="K33" s="102">
        <v>0.23456779999999999</v>
      </c>
      <c r="L33" s="97">
        <f t="shared" si="6"/>
        <v>40.234567800000001</v>
      </c>
      <c r="M33" s="45"/>
      <c r="N33" s="45"/>
      <c r="O33" s="45"/>
      <c r="P33" s="45"/>
      <c r="Q33" s="45"/>
      <c r="R33" s="45"/>
      <c r="S33" s="45"/>
      <c r="T33" s="45"/>
      <c r="U33" s="45"/>
      <c r="V33" s="45"/>
      <c r="W33" s="45"/>
      <c r="X33" s="45"/>
      <c r="Y33" s="45"/>
      <c r="Z33" s="45"/>
      <c r="AA33" s="45"/>
      <c r="AB33" s="45"/>
      <c r="AC33" s="45"/>
      <c r="AD33" s="45"/>
      <c r="AE33" s="45"/>
      <c r="AF33" s="45"/>
    </row>
    <row r="34" spans="1:32" s="46" customFormat="1" ht="93" customHeight="1" thickBot="1" x14ac:dyDescent="0.3">
      <c r="A34" s="95" t="str">
        <f t="shared" si="7"/>
        <v>3c</v>
      </c>
      <c r="B34" s="242"/>
      <c r="C34" s="242"/>
      <c r="D34" s="243"/>
      <c r="E34" s="77" t="s">
        <v>39</v>
      </c>
      <c r="F34" s="79" t="s">
        <v>70</v>
      </c>
      <c r="G34" s="105" t="s">
        <v>38</v>
      </c>
      <c r="H34" s="107" t="s">
        <v>224</v>
      </c>
      <c r="I34" s="100" t="str">
        <f t="shared" si="2"/>
        <v>Mantenimiento del control</v>
      </c>
      <c r="J34" s="97">
        <f t="shared" si="5"/>
        <v>40</v>
      </c>
      <c r="K34" s="102">
        <v>0.23456789</v>
      </c>
      <c r="L34" s="97">
        <f t="shared" si="6"/>
        <v>40.234567890000001</v>
      </c>
      <c r="M34" s="45"/>
      <c r="N34" s="45"/>
      <c r="O34" s="45"/>
      <c r="P34" s="45"/>
      <c r="Q34" s="45"/>
      <c r="R34" s="45"/>
      <c r="S34" s="45"/>
      <c r="T34" s="45"/>
      <c r="U34" s="45"/>
      <c r="V34" s="45"/>
      <c r="W34" s="45"/>
      <c r="X34" s="45"/>
      <c r="Y34" s="45"/>
      <c r="Z34" s="45"/>
      <c r="AA34" s="45"/>
      <c r="AB34" s="45"/>
      <c r="AC34" s="45"/>
      <c r="AD34" s="45"/>
      <c r="AE34" s="45"/>
      <c r="AF34" s="45"/>
    </row>
    <row r="35" spans="1:32" s="46" customFormat="1" ht="60.75" customHeight="1" x14ac:dyDescent="0.25">
      <c r="A35" s="95" t="str">
        <f>4&amp;E35</f>
        <v>4a</v>
      </c>
      <c r="B35" s="244" t="s">
        <v>71</v>
      </c>
      <c r="C35" s="231" t="s">
        <v>60</v>
      </c>
      <c r="D35" s="224" t="s">
        <v>72</v>
      </c>
      <c r="E35" s="75" t="s">
        <v>34</v>
      </c>
      <c r="F35" s="76" t="s">
        <v>73</v>
      </c>
      <c r="G35" s="103" t="s">
        <v>38</v>
      </c>
      <c r="H35" s="104" t="s">
        <v>203</v>
      </c>
      <c r="I35" s="96" t="str">
        <f t="shared" si="2"/>
        <v>Mantenimiento del control</v>
      </c>
      <c r="J35" s="97">
        <f t="shared" si="5"/>
        <v>40</v>
      </c>
      <c r="K35" s="102">
        <v>0.23456789119999999</v>
      </c>
      <c r="L35" s="97">
        <f t="shared" si="6"/>
        <v>40.234567891200001</v>
      </c>
      <c r="M35" s="45"/>
      <c r="N35" s="45"/>
      <c r="O35" s="45"/>
      <c r="P35" s="45"/>
      <c r="Q35" s="45"/>
    </row>
    <row r="36" spans="1:32" s="46" customFormat="1" ht="57.75" customHeight="1" x14ac:dyDescent="0.25">
      <c r="A36" s="95" t="str">
        <f t="shared" ref="A36:A37" si="8">4&amp;E36</f>
        <v>4b</v>
      </c>
      <c r="B36" s="244"/>
      <c r="C36" s="231"/>
      <c r="D36" s="224"/>
      <c r="E36" s="77" t="s">
        <v>36</v>
      </c>
      <c r="F36" s="79" t="s">
        <v>74</v>
      </c>
      <c r="G36" s="105" t="s">
        <v>38</v>
      </c>
      <c r="H36" s="107" t="s">
        <v>225</v>
      </c>
      <c r="I36" s="100" t="str">
        <f t="shared" si="2"/>
        <v>Mantenimiento del control</v>
      </c>
      <c r="J36" s="97">
        <f t="shared" si="5"/>
        <v>40</v>
      </c>
      <c r="K36" s="102">
        <v>0.23456789122999999</v>
      </c>
      <c r="L36" s="97">
        <f t="shared" si="6"/>
        <v>40.23456789123</v>
      </c>
      <c r="M36" s="45"/>
      <c r="N36" s="45"/>
      <c r="O36" s="45"/>
      <c r="P36" s="45"/>
      <c r="Q36" s="45"/>
    </row>
    <row r="37" spans="1:32" s="46" customFormat="1" ht="99.75" customHeight="1" thickBot="1" x14ac:dyDescent="0.3">
      <c r="A37" s="95" t="str">
        <f t="shared" si="8"/>
        <v>4c</v>
      </c>
      <c r="B37" s="244"/>
      <c r="C37" s="231"/>
      <c r="D37" s="224"/>
      <c r="E37" s="77" t="s">
        <v>39</v>
      </c>
      <c r="F37" s="79" t="s">
        <v>76</v>
      </c>
      <c r="G37" s="105" t="s">
        <v>75</v>
      </c>
      <c r="H37" s="107" t="s">
        <v>204</v>
      </c>
      <c r="I37" s="100" t="str">
        <f t="shared" si="2"/>
        <v>Oportunidad de mejora</v>
      </c>
      <c r="J37" s="97">
        <f t="shared" si="5"/>
        <v>30</v>
      </c>
      <c r="K37" s="102">
        <v>0.23456789123399999</v>
      </c>
      <c r="L37" s="97">
        <f t="shared" si="6"/>
        <v>30.234567891234001</v>
      </c>
      <c r="M37" s="45"/>
      <c r="N37" s="45"/>
      <c r="O37" s="45"/>
      <c r="P37" s="45"/>
      <c r="Q37" s="45"/>
    </row>
    <row r="38" spans="1:32" s="46" customFormat="1" ht="85.5" customHeight="1" x14ac:dyDescent="0.25">
      <c r="A38" s="95" t="str">
        <f>5&amp;E38</f>
        <v>5a</v>
      </c>
      <c r="B38" s="245" t="s">
        <v>77</v>
      </c>
      <c r="C38" s="233" t="s">
        <v>78</v>
      </c>
      <c r="D38" s="248" t="s">
        <v>79</v>
      </c>
      <c r="E38" s="75" t="s">
        <v>34</v>
      </c>
      <c r="F38" s="76" t="s">
        <v>80</v>
      </c>
      <c r="G38" s="103" t="s">
        <v>38</v>
      </c>
      <c r="H38" s="104" t="s">
        <v>221</v>
      </c>
      <c r="I38" s="96" t="str">
        <f t="shared" si="2"/>
        <v>Mantenimiento del control</v>
      </c>
      <c r="J38" s="97">
        <f>+IF(G38="Si",60,IF(G38="En proceso",50,40))</f>
        <v>60</v>
      </c>
      <c r="K38" s="97">
        <v>0.31</v>
      </c>
      <c r="L38" s="97">
        <f t="shared" si="3"/>
        <v>60.31</v>
      </c>
    </row>
    <row r="39" spans="1:32" s="46" customFormat="1" ht="80.25" customHeight="1" x14ac:dyDescent="0.25">
      <c r="A39" s="95" t="str">
        <f t="shared" ref="A39:A42" si="9">5&amp;E39</f>
        <v>5b</v>
      </c>
      <c r="B39" s="246"/>
      <c r="C39" s="234"/>
      <c r="D39" s="249"/>
      <c r="E39" s="77" t="s">
        <v>36</v>
      </c>
      <c r="F39" s="79" t="s">
        <v>81</v>
      </c>
      <c r="G39" s="105" t="s">
        <v>38</v>
      </c>
      <c r="H39" s="107" t="s">
        <v>226</v>
      </c>
      <c r="I39" s="100" t="str">
        <f t="shared" si="2"/>
        <v>Mantenimiento del control</v>
      </c>
      <c r="J39" s="97">
        <f>+IF(G39="Si",60,IF(G39="En proceso",50,40))</f>
        <v>60</v>
      </c>
      <c r="K39" s="97">
        <v>0.32300000000000001</v>
      </c>
      <c r="L39" s="97">
        <f t="shared" si="3"/>
        <v>60.323</v>
      </c>
    </row>
    <row r="40" spans="1:32" s="46" customFormat="1" ht="62.25" customHeight="1" x14ac:dyDescent="0.25">
      <c r="A40" s="95" t="str">
        <f t="shared" si="9"/>
        <v>5c</v>
      </c>
      <c r="B40" s="246"/>
      <c r="C40" s="234"/>
      <c r="D40" s="249"/>
      <c r="E40" s="77" t="s">
        <v>39</v>
      </c>
      <c r="F40" s="79" t="s">
        <v>82</v>
      </c>
      <c r="G40" s="105" t="s">
        <v>75</v>
      </c>
      <c r="H40" s="107" t="s">
        <v>227</v>
      </c>
      <c r="I40" s="100" t="str">
        <f t="shared" si="2"/>
        <v>Oportunidad de mejora</v>
      </c>
      <c r="J40" s="97">
        <f>+IF(G40="Si",60,IF(G40="En proceso",50,40))</f>
        <v>50</v>
      </c>
      <c r="K40" s="97">
        <v>0.32400000000000001</v>
      </c>
      <c r="L40" s="97">
        <f t="shared" si="3"/>
        <v>50.323999999999998</v>
      </c>
    </row>
    <row r="41" spans="1:32" s="46" customFormat="1" ht="94.5" x14ac:dyDescent="0.25">
      <c r="A41" s="95" t="str">
        <f t="shared" si="9"/>
        <v>5d</v>
      </c>
      <c r="B41" s="246"/>
      <c r="C41" s="234"/>
      <c r="D41" s="249"/>
      <c r="E41" s="77" t="s">
        <v>41</v>
      </c>
      <c r="F41" s="79" t="s">
        <v>83</v>
      </c>
      <c r="G41" s="105" t="s">
        <v>38</v>
      </c>
      <c r="H41" s="107" t="s">
        <v>228</v>
      </c>
      <c r="I41" s="100" t="str">
        <f t="shared" si="2"/>
        <v>Mantenimiento del control</v>
      </c>
      <c r="J41" s="97">
        <f>+IF(G41="Si",60,IF(G41="En proceso",50,40))</f>
        <v>60</v>
      </c>
      <c r="K41" s="97">
        <v>0.32500000000000001</v>
      </c>
      <c r="L41" s="97">
        <f t="shared" si="3"/>
        <v>60.325000000000003</v>
      </c>
    </row>
    <row r="42" spans="1:32" s="46" customFormat="1" ht="48" thickBot="1" x14ac:dyDescent="0.3">
      <c r="A42" s="95" t="str">
        <f t="shared" si="9"/>
        <v>5e</v>
      </c>
      <c r="B42" s="247"/>
      <c r="C42" s="235"/>
      <c r="D42" s="250"/>
      <c r="E42" s="80" t="s">
        <v>43</v>
      </c>
      <c r="F42" s="81" t="s">
        <v>84</v>
      </c>
      <c r="G42" s="108" t="s">
        <v>38</v>
      </c>
      <c r="H42" s="109" t="s">
        <v>205</v>
      </c>
      <c r="I42" s="101" t="str">
        <f t="shared" si="2"/>
        <v>Mantenimiento del control</v>
      </c>
      <c r="J42" s="97">
        <f>+IF(G42="Si",60,IF(G42="En proceso",50,40))</f>
        <v>60</v>
      </c>
      <c r="K42" s="97">
        <v>0.32600000000000001</v>
      </c>
      <c r="L42" s="97">
        <f t="shared" si="3"/>
        <v>60.326000000000001</v>
      </c>
    </row>
    <row r="43" spans="1:32" s="46" customFormat="1" ht="40.5" customHeight="1" x14ac:dyDescent="0.25">
      <c r="A43" s="95" t="str">
        <f>6&amp;E43</f>
        <v>6a</v>
      </c>
      <c r="B43" s="205" t="s">
        <v>85</v>
      </c>
      <c r="C43" s="236" t="s">
        <v>86</v>
      </c>
      <c r="D43" s="202" t="s">
        <v>87</v>
      </c>
      <c r="E43" s="75" t="s">
        <v>34</v>
      </c>
      <c r="F43" s="76" t="s">
        <v>88</v>
      </c>
      <c r="G43" s="103" t="s">
        <v>38</v>
      </c>
      <c r="H43" s="104" t="s">
        <v>206</v>
      </c>
      <c r="I43" s="96" t="str">
        <f t="shared" si="2"/>
        <v>Mantenimiento del control</v>
      </c>
      <c r="J43" s="97">
        <f t="shared" ref="J43:J49" si="10">+IF(G43="Si",80,IF(G43="En proceso",70,60))</f>
        <v>80</v>
      </c>
      <c r="K43" s="97">
        <v>0.41199999999999998</v>
      </c>
      <c r="L43" s="97">
        <f t="shared" si="3"/>
        <v>80.412000000000006</v>
      </c>
    </row>
    <row r="44" spans="1:32" s="46" customFormat="1" ht="48" customHeight="1" x14ac:dyDescent="0.25">
      <c r="A44" s="95" t="str">
        <f t="shared" ref="A44:A49" si="11">6&amp;E44</f>
        <v>6b</v>
      </c>
      <c r="B44" s="206"/>
      <c r="C44" s="237"/>
      <c r="D44" s="203"/>
      <c r="E44" s="77" t="s">
        <v>36</v>
      </c>
      <c r="F44" s="79" t="s">
        <v>89</v>
      </c>
      <c r="G44" s="105" t="s">
        <v>38</v>
      </c>
      <c r="H44" s="107" t="s">
        <v>207</v>
      </c>
      <c r="I44" s="100" t="str">
        <f t="shared" si="2"/>
        <v>Mantenimiento del control</v>
      </c>
      <c r="J44" s="97">
        <f t="shared" si="10"/>
        <v>80</v>
      </c>
      <c r="K44" s="97">
        <v>0.4123</v>
      </c>
      <c r="L44" s="97">
        <f t="shared" si="3"/>
        <v>80.412300000000002</v>
      </c>
    </row>
    <row r="45" spans="1:32" s="46" customFormat="1" ht="49.5" x14ac:dyDescent="0.25">
      <c r="A45" s="95" t="str">
        <f t="shared" si="11"/>
        <v>6c</v>
      </c>
      <c r="B45" s="206"/>
      <c r="C45" s="237"/>
      <c r="D45" s="203"/>
      <c r="E45" s="77" t="s">
        <v>39</v>
      </c>
      <c r="F45" s="79" t="s">
        <v>90</v>
      </c>
      <c r="G45" s="105" t="s">
        <v>38</v>
      </c>
      <c r="H45" s="107" t="s">
        <v>208</v>
      </c>
      <c r="I45" s="100" t="str">
        <f t="shared" si="2"/>
        <v>Mantenimiento del control</v>
      </c>
      <c r="J45" s="97">
        <f t="shared" si="10"/>
        <v>80</v>
      </c>
      <c r="K45" s="97">
        <v>0.41233999999999998</v>
      </c>
      <c r="L45" s="97">
        <f t="shared" si="3"/>
        <v>80.41234</v>
      </c>
    </row>
    <row r="46" spans="1:32" s="46" customFormat="1" ht="33" x14ac:dyDescent="0.25">
      <c r="A46" s="95" t="str">
        <f t="shared" si="11"/>
        <v>6d</v>
      </c>
      <c r="B46" s="206"/>
      <c r="C46" s="237"/>
      <c r="D46" s="203"/>
      <c r="E46" s="77" t="s">
        <v>41</v>
      </c>
      <c r="F46" s="79" t="s">
        <v>91</v>
      </c>
      <c r="G46" s="105" t="s">
        <v>38</v>
      </c>
      <c r="H46" s="107" t="s">
        <v>209</v>
      </c>
      <c r="I46" s="100" t="str">
        <f t="shared" si="2"/>
        <v>Mantenimiento del control</v>
      </c>
      <c r="J46" s="97">
        <f t="shared" si="10"/>
        <v>80</v>
      </c>
      <c r="K46" s="97">
        <v>0.41234500000000002</v>
      </c>
      <c r="L46" s="97">
        <f t="shared" si="3"/>
        <v>80.412345000000002</v>
      </c>
    </row>
    <row r="47" spans="1:32" s="46" customFormat="1" ht="66" x14ac:dyDescent="0.25">
      <c r="A47" s="95" t="str">
        <f t="shared" si="11"/>
        <v>6e</v>
      </c>
      <c r="B47" s="206"/>
      <c r="C47" s="237"/>
      <c r="D47" s="203"/>
      <c r="E47" s="77" t="s">
        <v>43</v>
      </c>
      <c r="F47" s="79" t="s">
        <v>92</v>
      </c>
      <c r="G47" s="105" t="s">
        <v>38</v>
      </c>
      <c r="H47" s="107" t="s">
        <v>210</v>
      </c>
      <c r="I47" s="100" t="str">
        <f t="shared" si="2"/>
        <v>Mantenimiento del control</v>
      </c>
      <c r="J47" s="97">
        <f t="shared" si="10"/>
        <v>80</v>
      </c>
      <c r="K47" s="97">
        <v>0.41234559999999998</v>
      </c>
      <c r="L47" s="97">
        <f t="shared" si="3"/>
        <v>80.412345599999995</v>
      </c>
    </row>
    <row r="48" spans="1:32" s="46" customFormat="1" ht="63" x14ac:dyDescent="0.25">
      <c r="A48" s="95" t="str">
        <f t="shared" si="11"/>
        <v>6f</v>
      </c>
      <c r="B48" s="206"/>
      <c r="C48" s="237"/>
      <c r="D48" s="203"/>
      <c r="E48" s="77" t="s">
        <v>45</v>
      </c>
      <c r="F48" s="79" t="s">
        <v>93</v>
      </c>
      <c r="G48" s="105" t="s">
        <v>38</v>
      </c>
      <c r="H48" s="107" t="s">
        <v>211</v>
      </c>
      <c r="I48" s="100" t="str">
        <f t="shared" si="2"/>
        <v>Mantenimiento del control</v>
      </c>
      <c r="J48" s="97">
        <f t="shared" si="10"/>
        <v>80</v>
      </c>
      <c r="K48" s="97">
        <v>0.41234567</v>
      </c>
      <c r="L48" s="97">
        <f t="shared" si="3"/>
        <v>80.412345669999993</v>
      </c>
    </row>
    <row r="49" spans="1:17" s="46" customFormat="1" ht="72.75" customHeight="1" thickBot="1" x14ac:dyDescent="0.3">
      <c r="A49" s="95" t="str">
        <f t="shared" si="11"/>
        <v>6g</v>
      </c>
      <c r="B49" s="207"/>
      <c r="C49" s="238"/>
      <c r="D49" s="204"/>
      <c r="E49" s="80" t="s">
        <v>47</v>
      </c>
      <c r="F49" s="81" t="s">
        <v>94</v>
      </c>
      <c r="G49" s="108" t="s">
        <v>75</v>
      </c>
      <c r="H49" s="109" t="s">
        <v>241</v>
      </c>
      <c r="I49" s="101" t="str">
        <f t="shared" si="2"/>
        <v>Oportunidad de mejora</v>
      </c>
      <c r="J49" s="97">
        <f t="shared" si="10"/>
        <v>70</v>
      </c>
      <c r="K49" s="97">
        <v>0.41234567799999999</v>
      </c>
      <c r="L49" s="97">
        <f t="shared" si="3"/>
        <v>70.412345677999994</v>
      </c>
    </row>
    <row r="50" spans="1:17" s="46" customFormat="1" ht="54.75" customHeight="1" x14ac:dyDescent="0.25">
      <c r="A50" s="95" t="str">
        <f>7&amp;E50</f>
        <v>7a</v>
      </c>
      <c r="B50" s="211" t="s">
        <v>95</v>
      </c>
      <c r="C50" s="239" t="s">
        <v>96</v>
      </c>
      <c r="D50" s="208" t="s">
        <v>97</v>
      </c>
      <c r="E50" s="75" t="s">
        <v>34</v>
      </c>
      <c r="F50" s="76" t="s">
        <v>98</v>
      </c>
      <c r="G50" s="103" t="s">
        <v>38</v>
      </c>
      <c r="H50" s="104" t="s">
        <v>217</v>
      </c>
      <c r="I50" s="96" t="str">
        <f t="shared" si="2"/>
        <v>Mantenimiento del control</v>
      </c>
      <c r="J50" s="97">
        <f>+IF(G50="Si",120,IF(G50="En proceso",100,80))</f>
        <v>120</v>
      </c>
      <c r="K50" s="97">
        <v>0.85099999999999998</v>
      </c>
      <c r="L50" s="97">
        <f t="shared" si="3"/>
        <v>120.851</v>
      </c>
    </row>
    <row r="51" spans="1:17" s="46" customFormat="1" ht="94.5" x14ac:dyDescent="0.25">
      <c r="A51" s="95" t="str">
        <f t="shared" ref="A51:A53" si="12">7&amp;E51</f>
        <v>7d</v>
      </c>
      <c r="B51" s="212"/>
      <c r="C51" s="240"/>
      <c r="D51" s="209"/>
      <c r="E51" s="77" t="s">
        <v>41</v>
      </c>
      <c r="F51" s="79" t="s">
        <v>99</v>
      </c>
      <c r="G51" s="105" t="s">
        <v>38</v>
      </c>
      <c r="H51" s="107" t="s">
        <v>212</v>
      </c>
      <c r="I51" s="100" t="str">
        <f t="shared" si="2"/>
        <v>Mantenimiento del control</v>
      </c>
      <c r="J51" s="97">
        <f t="shared" ref="J51:J59" si="13">+IF(G51="Si",120,IF(G51="En proceso",100,80))</f>
        <v>120</v>
      </c>
      <c r="K51" s="97">
        <v>0.85119999999999996</v>
      </c>
      <c r="L51" s="97">
        <f t="shared" si="3"/>
        <v>120.85120000000001</v>
      </c>
    </row>
    <row r="52" spans="1:17" s="46" customFormat="1" ht="47.25" x14ac:dyDescent="0.25">
      <c r="A52" s="95" t="str">
        <f t="shared" si="12"/>
        <v>7f</v>
      </c>
      <c r="B52" s="212"/>
      <c r="C52" s="240"/>
      <c r="D52" s="209"/>
      <c r="E52" s="77" t="s">
        <v>45</v>
      </c>
      <c r="F52" s="79" t="s">
        <v>100</v>
      </c>
      <c r="G52" s="105" t="s">
        <v>38</v>
      </c>
      <c r="H52" s="107" t="s">
        <v>213</v>
      </c>
      <c r="I52" s="100" t="str">
        <f t="shared" si="2"/>
        <v>Mantenimiento del control</v>
      </c>
      <c r="J52" s="97">
        <f t="shared" si="13"/>
        <v>120</v>
      </c>
      <c r="K52" s="97">
        <v>0.85123000000000004</v>
      </c>
      <c r="L52" s="97">
        <f t="shared" si="3"/>
        <v>120.85123</v>
      </c>
    </row>
    <row r="53" spans="1:17" s="46" customFormat="1" ht="48" thickBot="1" x14ac:dyDescent="0.3">
      <c r="A53" s="95" t="str">
        <f t="shared" si="12"/>
        <v>7g</v>
      </c>
      <c r="B53" s="213"/>
      <c r="C53" s="241"/>
      <c r="D53" s="210"/>
      <c r="E53" s="80" t="s">
        <v>47</v>
      </c>
      <c r="F53" s="81" t="s">
        <v>101</v>
      </c>
      <c r="G53" s="108" t="s">
        <v>38</v>
      </c>
      <c r="H53" s="109" t="s">
        <v>214</v>
      </c>
      <c r="I53" s="101" t="str">
        <f t="shared" si="2"/>
        <v>Mantenimiento del control</v>
      </c>
      <c r="J53" s="97">
        <f t="shared" si="13"/>
        <v>120</v>
      </c>
      <c r="K53" s="97">
        <v>0.85123400000000005</v>
      </c>
      <c r="L53" s="97">
        <f t="shared" si="3"/>
        <v>120.85123400000001</v>
      </c>
    </row>
    <row r="54" spans="1:17" s="46" customFormat="1" ht="102.75" customHeight="1" thickBot="1" x14ac:dyDescent="0.3">
      <c r="A54" s="95" t="str">
        <f>8&amp;E54</f>
        <v>8h</v>
      </c>
      <c r="B54" s="150" t="s">
        <v>102</v>
      </c>
      <c r="C54" s="151" t="s">
        <v>96</v>
      </c>
      <c r="D54" s="70" t="s">
        <v>103</v>
      </c>
      <c r="E54" s="75" t="s">
        <v>49</v>
      </c>
      <c r="F54" s="76" t="s">
        <v>104</v>
      </c>
      <c r="G54" s="103" t="s">
        <v>38</v>
      </c>
      <c r="H54" s="104" t="s">
        <v>215</v>
      </c>
      <c r="I54" s="96" t="str">
        <f t="shared" si="2"/>
        <v>Mantenimiento del control</v>
      </c>
      <c r="J54" s="97">
        <f t="shared" si="13"/>
        <v>120</v>
      </c>
      <c r="K54" s="97">
        <v>0.85123450000000001</v>
      </c>
      <c r="L54" s="97">
        <f t="shared" si="3"/>
        <v>120.8512345</v>
      </c>
    </row>
    <row r="55" spans="1:17" s="46" customFormat="1" ht="83.25" customHeight="1" thickBot="1" x14ac:dyDescent="0.3">
      <c r="A55" s="95" t="str">
        <f>9&amp;E55</f>
        <v>9a</v>
      </c>
      <c r="B55" s="211" t="s">
        <v>105</v>
      </c>
      <c r="C55" s="239" t="s">
        <v>96</v>
      </c>
      <c r="D55" s="208" t="s">
        <v>106</v>
      </c>
      <c r="E55" s="75" t="s">
        <v>34</v>
      </c>
      <c r="F55" s="76" t="s">
        <v>107</v>
      </c>
      <c r="G55" s="103" t="s">
        <v>38</v>
      </c>
      <c r="H55" s="104" t="s">
        <v>229</v>
      </c>
      <c r="I55" s="96" t="str">
        <f t="shared" si="2"/>
        <v>Mantenimiento del control</v>
      </c>
      <c r="J55" s="97">
        <f t="shared" si="13"/>
        <v>120</v>
      </c>
      <c r="K55" s="102">
        <v>0.85123455999999997</v>
      </c>
      <c r="L55" s="97">
        <f t="shared" si="3"/>
        <v>120.85123455999999</v>
      </c>
      <c r="M55" s="45"/>
      <c r="N55" s="45"/>
      <c r="O55" s="45"/>
      <c r="P55" s="45"/>
      <c r="Q55" s="45"/>
    </row>
    <row r="56" spans="1:17" s="46" customFormat="1" ht="55.5" customHeight="1" thickBot="1" x14ac:dyDescent="0.3">
      <c r="A56" s="95" t="str">
        <f t="shared" ref="A56:A59" si="14">9&amp;E56</f>
        <v>9b</v>
      </c>
      <c r="B56" s="212"/>
      <c r="C56" s="240"/>
      <c r="D56" s="209"/>
      <c r="E56" s="77" t="s">
        <v>36</v>
      </c>
      <c r="F56" s="79" t="s">
        <v>108</v>
      </c>
      <c r="G56" s="105" t="s">
        <v>38</v>
      </c>
      <c r="H56" s="104" t="s">
        <v>230</v>
      </c>
      <c r="I56" s="100" t="str">
        <f t="shared" si="2"/>
        <v>Mantenimiento del control</v>
      </c>
      <c r="J56" s="97">
        <f t="shared" si="13"/>
        <v>120</v>
      </c>
      <c r="K56" s="102">
        <v>0.851234567</v>
      </c>
      <c r="L56" s="97">
        <f t="shared" si="3"/>
        <v>120.85123456700001</v>
      </c>
      <c r="M56" s="45"/>
      <c r="N56" s="45"/>
      <c r="O56" s="45"/>
      <c r="P56" s="45"/>
      <c r="Q56" s="45"/>
    </row>
    <row r="57" spans="1:17" s="46" customFormat="1" ht="77.25" customHeight="1" x14ac:dyDescent="0.25">
      <c r="A57" s="95" t="str">
        <f t="shared" si="14"/>
        <v>9c</v>
      </c>
      <c r="B57" s="212"/>
      <c r="C57" s="240"/>
      <c r="D57" s="209"/>
      <c r="E57" s="77" t="s">
        <v>39</v>
      </c>
      <c r="F57" s="79" t="s">
        <v>109</v>
      </c>
      <c r="G57" s="105" t="s">
        <v>38</v>
      </c>
      <c r="H57" s="104" t="s">
        <v>231</v>
      </c>
      <c r="I57" s="100" t="str">
        <f t="shared" si="2"/>
        <v>Mantenimiento del control</v>
      </c>
      <c r="J57" s="97">
        <f t="shared" si="13"/>
        <v>120</v>
      </c>
      <c r="K57" s="102">
        <v>0.85123456779999995</v>
      </c>
      <c r="L57" s="97">
        <f t="shared" si="3"/>
        <v>120.85123456780001</v>
      </c>
      <c r="M57" s="45"/>
      <c r="N57" s="45"/>
      <c r="O57" s="45"/>
      <c r="P57" s="45"/>
      <c r="Q57" s="45"/>
    </row>
    <row r="58" spans="1:17" s="46" customFormat="1" ht="77.25" customHeight="1" x14ac:dyDescent="0.25">
      <c r="A58" s="95" t="str">
        <f t="shared" si="14"/>
        <v>9d</v>
      </c>
      <c r="B58" s="212"/>
      <c r="C58" s="240"/>
      <c r="D58" s="209"/>
      <c r="E58" s="77" t="s">
        <v>41</v>
      </c>
      <c r="F58" s="79" t="s">
        <v>110</v>
      </c>
      <c r="G58" s="105" t="s">
        <v>75</v>
      </c>
      <c r="H58" s="107" t="s">
        <v>237</v>
      </c>
      <c r="I58" s="100" t="str">
        <f t="shared" si="2"/>
        <v>Oportunidad de mejora</v>
      </c>
      <c r="J58" s="97">
        <f t="shared" si="13"/>
        <v>100</v>
      </c>
      <c r="K58" s="102">
        <v>0.85123456788999996</v>
      </c>
      <c r="L58" s="97">
        <f t="shared" si="3"/>
        <v>100.85123456789</v>
      </c>
      <c r="M58" s="45"/>
      <c r="N58" s="45"/>
      <c r="O58" s="45"/>
      <c r="P58" s="45"/>
      <c r="Q58" s="45"/>
    </row>
    <row r="59" spans="1:17" s="46" customFormat="1" ht="77.25" customHeight="1" thickBot="1" x14ac:dyDescent="0.3">
      <c r="A59" s="95" t="str">
        <f t="shared" si="14"/>
        <v>9e</v>
      </c>
      <c r="B59" s="213"/>
      <c r="C59" s="240"/>
      <c r="D59" s="226"/>
      <c r="E59" s="80" t="s">
        <v>43</v>
      </c>
      <c r="F59" s="81" t="s">
        <v>111</v>
      </c>
      <c r="G59" s="108" t="s">
        <v>75</v>
      </c>
      <c r="H59" s="109" t="s">
        <v>232</v>
      </c>
      <c r="I59" s="101" t="str">
        <f t="shared" si="2"/>
        <v>Oportunidad de mejora</v>
      </c>
      <c r="J59" s="97">
        <f t="shared" si="13"/>
        <v>100</v>
      </c>
      <c r="K59" s="102">
        <v>0.85123456789100005</v>
      </c>
      <c r="L59" s="97">
        <f t="shared" si="3"/>
        <v>100.851234567891</v>
      </c>
      <c r="M59" s="45"/>
      <c r="N59" s="45"/>
      <c r="O59" s="45"/>
      <c r="P59" s="45"/>
      <c r="Q59" s="45"/>
    </row>
  </sheetData>
  <sheetProtection algorithmName="SHA-512" hashValue="3f8q67IhQ+195mCCu45JxrnKZ5NQYpYn/4DMJ1qNlLoW+1h5DdlwjNz0RDsqicEeH5OxPhf5j92R5BAeBl6Iaw==" saltValue="5vY6GrPfNxnRatmVvJafnA==" spinCount="100000" sheet="1" objects="1" scenarios="1" formatCells="0" formatColumns="0" formatRows="0"/>
  <mergeCells count="25">
    <mergeCell ref="D55:D59"/>
    <mergeCell ref="B55:B59"/>
    <mergeCell ref="C16:C27"/>
    <mergeCell ref="C28:C31"/>
    <mergeCell ref="C38:C42"/>
    <mergeCell ref="C43:C49"/>
    <mergeCell ref="C50:C53"/>
    <mergeCell ref="C32:C34"/>
    <mergeCell ref="C35:C37"/>
    <mergeCell ref="C55:C59"/>
    <mergeCell ref="D32:D34"/>
    <mergeCell ref="B32:B34"/>
    <mergeCell ref="B35:B37"/>
    <mergeCell ref="D35:D37"/>
    <mergeCell ref="B38:B42"/>
    <mergeCell ref="D38:D42"/>
    <mergeCell ref="B14:I14"/>
    <mergeCell ref="D43:D49"/>
    <mergeCell ref="B43:B49"/>
    <mergeCell ref="D50:D53"/>
    <mergeCell ref="B50:B53"/>
    <mergeCell ref="D16:D27"/>
    <mergeCell ref="B16:B27"/>
    <mergeCell ref="B28:B31"/>
    <mergeCell ref="D28:D31"/>
  </mergeCells>
  <dataValidations count="2">
    <dataValidation type="list" allowBlank="1" showInputMessage="1" showErrorMessage="1" sqref="G55:G59 G16:G53" xr:uid="{00000000-0002-0000-0100-000000000000}">
      <formula1>"Si, No, En proceso"</formula1>
    </dataValidation>
    <dataValidation type="list" allowBlank="1" showInputMessage="1" showErrorMessage="1" sqref="G54" xr:uid="{00000000-0002-0000-0100-000001000000}">
      <formula1>"Si, No"</formula1>
    </dataValidation>
  </dataValidations>
  <pageMargins left="0.7" right="0.7" top="0.75" bottom="0.75" header="0.3" footer="0.3"/>
  <pageSetup orientation="portrait" horizontalDpi="300" verticalDpi="300"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C74"/>
  <sheetViews>
    <sheetView topLeftCell="A51" zoomScale="80" zoomScaleNormal="80" workbookViewId="0">
      <selection activeCell="E30" sqref="E30"/>
    </sheetView>
  </sheetViews>
  <sheetFormatPr baseColWidth="10" defaultColWidth="11.42578125" defaultRowHeight="15" x14ac:dyDescent="0.25"/>
  <cols>
    <col min="3" max="3" width="22.85546875" customWidth="1"/>
    <col min="4" max="4" width="22.5703125" customWidth="1"/>
    <col min="5" max="5" width="53.42578125" customWidth="1"/>
    <col min="7" max="7" width="28.28515625" customWidth="1"/>
    <col min="8" max="8" width="4.85546875" customWidth="1"/>
    <col min="9" max="9" width="15.28515625" customWidth="1"/>
    <col min="10" max="10" width="22.42578125" customWidth="1"/>
    <col min="11" max="29" width="11.42578125" style="1"/>
  </cols>
  <sheetData>
    <row r="1" spans="1:11" x14ac:dyDescent="0.25">
      <c r="A1" s="1"/>
      <c r="B1" s="1"/>
      <c r="C1" s="1"/>
      <c r="D1" s="1"/>
      <c r="E1" s="1"/>
      <c r="F1" s="1"/>
      <c r="G1" s="1"/>
      <c r="H1" s="1"/>
      <c r="I1" s="1"/>
      <c r="J1" s="1"/>
    </row>
    <row r="2" spans="1:11" s="1" customFormat="1" x14ac:dyDescent="0.25"/>
    <row r="3" spans="1:11" s="1" customFormat="1" x14ac:dyDescent="0.25"/>
    <row r="4" spans="1:11" x14ac:dyDescent="0.25">
      <c r="A4" s="1"/>
      <c r="B4" s="1"/>
      <c r="C4" s="1"/>
      <c r="D4" s="1"/>
      <c r="E4" s="1"/>
      <c r="F4" s="1"/>
      <c r="G4" s="1"/>
      <c r="H4" s="1"/>
      <c r="I4" s="1"/>
      <c r="J4" s="1"/>
    </row>
    <row r="5" spans="1:11" x14ac:dyDescent="0.25">
      <c r="A5" s="1"/>
      <c r="B5" s="1"/>
      <c r="C5" s="1"/>
      <c r="D5" s="1"/>
      <c r="E5" s="1"/>
      <c r="F5" s="1"/>
      <c r="G5" s="1"/>
      <c r="H5" s="1"/>
      <c r="I5" s="1"/>
      <c r="J5" s="1"/>
    </row>
    <row r="6" spans="1:11" ht="15.75" thickBot="1" x14ac:dyDescent="0.3">
      <c r="A6" s="1"/>
      <c r="B6" s="1"/>
      <c r="C6" s="1"/>
      <c r="D6" s="1"/>
      <c r="E6" s="1"/>
      <c r="F6" s="1"/>
      <c r="G6" s="1"/>
      <c r="H6" s="1"/>
      <c r="I6" s="1"/>
      <c r="J6" s="1"/>
    </row>
    <row r="7" spans="1:11" ht="26.25" thickBot="1" x14ac:dyDescent="0.3">
      <c r="A7" s="1"/>
      <c r="B7" s="1"/>
      <c r="C7" s="251" t="s">
        <v>112</v>
      </c>
      <c r="D7" s="252"/>
      <c r="E7" s="252"/>
      <c r="F7" s="252"/>
      <c r="G7" s="252"/>
      <c r="H7" s="252"/>
      <c r="I7" s="252"/>
      <c r="J7" s="252"/>
      <c r="K7" s="253"/>
    </row>
    <row r="8" spans="1:11" s="1" customFormat="1" ht="15.75" thickBot="1" x14ac:dyDescent="0.3">
      <c r="C8" s="36"/>
      <c r="D8" s="36"/>
      <c r="E8" s="37"/>
      <c r="F8" s="37"/>
      <c r="G8" s="37"/>
      <c r="H8" s="37"/>
      <c r="I8" s="47"/>
      <c r="J8" s="37"/>
      <c r="K8" s="37"/>
    </row>
    <row r="9" spans="1:11" ht="21" thickBot="1" x14ac:dyDescent="0.3">
      <c r="A9" s="1"/>
      <c r="B9" s="1"/>
      <c r="C9" s="160" t="s">
        <v>15</v>
      </c>
      <c r="D9" s="161"/>
      <c r="E9" s="161" t="s">
        <v>16</v>
      </c>
      <c r="F9" s="172"/>
      <c r="G9" s="37"/>
      <c r="H9" s="37"/>
      <c r="I9" s="47"/>
      <c r="J9" s="37"/>
      <c r="K9" s="37"/>
    </row>
    <row r="10" spans="1:11" ht="54" customHeight="1" x14ac:dyDescent="0.25">
      <c r="A10" s="1"/>
      <c r="B10" s="1"/>
      <c r="C10" s="173" t="s">
        <v>17</v>
      </c>
      <c r="D10" s="174"/>
      <c r="E10" s="175" t="s">
        <v>18</v>
      </c>
      <c r="F10" s="176"/>
      <c r="G10" s="38"/>
      <c r="H10" s="39">
        <v>1</v>
      </c>
      <c r="I10" s="47"/>
      <c r="J10" s="37"/>
      <c r="K10" s="37"/>
    </row>
    <row r="11" spans="1:11" ht="46.5" customHeight="1" x14ac:dyDescent="0.25">
      <c r="A11" s="1"/>
      <c r="B11" s="1"/>
      <c r="C11" s="162" t="s">
        <v>19</v>
      </c>
      <c r="D11" s="163"/>
      <c r="E11" s="164" t="s">
        <v>113</v>
      </c>
      <c r="F11" s="165"/>
      <c r="G11" s="40" t="s">
        <v>114</v>
      </c>
      <c r="H11" s="39">
        <v>0.75</v>
      </c>
      <c r="I11" s="47"/>
      <c r="J11" s="37"/>
      <c r="K11" s="37"/>
    </row>
    <row r="12" spans="1:11" ht="70.5" customHeight="1" thickBot="1" x14ac:dyDescent="0.3">
      <c r="A12" s="1"/>
      <c r="B12" s="1"/>
      <c r="C12" s="166" t="s">
        <v>21</v>
      </c>
      <c r="D12" s="167"/>
      <c r="E12" s="168" t="s">
        <v>115</v>
      </c>
      <c r="F12" s="169"/>
      <c r="G12" s="41"/>
      <c r="H12" s="39">
        <v>0.25</v>
      </c>
      <c r="I12" s="47"/>
      <c r="J12" s="37"/>
      <c r="K12" s="37"/>
    </row>
    <row r="13" spans="1:11" s="1" customFormat="1" x14ac:dyDescent="0.25"/>
    <row r="14" spans="1:11" s="1" customFormat="1" x14ac:dyDescent="0.25"/>
    <row r="15" spans="1:11" s="1" customFormat="1" x14ac:dyDescent="0.25"/>
    <row r="16" spans="1:11" s="1" customFormat="1" ht="15.75" thickBot="1" x14ac:dyDescent="0.3"/>
    <row r="17" spans="1:10" x14ac:dyDescent="0.25">
      <c r="A17" s="1"/>
      <c r="B17" s="1"/>
      <c r="C17" s="259" t="s">
        <v>116</v>
      </c>
      <c r="D17" s="261" t="s">
        <v>117</v>
      </c>
      <c r="E17" s="262"/>
      <c r="F17" s="263" t="s">
        <v>118</v>
      </c>
      <c r="G17" s="265" t="s">
        <v>119</v>
      </c>
      <c r="H17" s="35"/>
      <c r="I17" s="254" t="s">
        <v>120</v>
      </c>
      <c r="J17" s="254" t="s">
        <v>121</v>
      </c>
    </row>
    <row r="18" spans="1:10" ht="36" customHeight="1" thickBot="1" x14ac:dyDescent="0.3">
      <c r="A18" s="1"/>
      <c r="B18" s="1"/>
      <c r="C18" s="260"/>
      <c r="D18" s="110" t="s">
        <v>122</v>
      </c>
      <c r="E18" s="111" t="s">
        <v>27</v>
      </c>
      <c r="F18" s="264"/>
      <c r="G18" s="266"/>
      <c r="H18" s="35"/>
      <c r="I18" s="255"/>
      <c r="J18" s="255"/>
    </row>
    <row r="19" spans="1:10" ht="65.25" customHeight="1" x14ac:dyDescent="0.25">
      <c r="A19" s="1"/>
      <c r="B19" s="1"/>
      <c r="C19" s="129">
        <v>1</v>
      </c>
      <c r="D19" s="256" t="s">
        <v>32</v>
      </c>
      <c r="E19" s="112" t="str">
        <f>+IFERROR(INDEX(Hoja1!$E$2:$E$45,MATCH('Análisis Resultados'!C19,Hoja1!$H$2:$H$45,0)),"")</f>
        <v>Documento interno o adopción del MECI actualizado</v>
      </c>
      <c r="F19" s="113" t="str">
        <f>+IFERROR(VLOOKUP(C19,Hoja1!$H$2:$I$45,2,0),"")</f>
        <v>Si</v>
      </c>
      <c r="G19" s="114" t="str">
        <f>+IF(F19="Si","Existe requerimiento pero se requiere actividades  dirigidas a su mantenimiento dentro del marco de las lineas de defensa.",IF(F19="En proceso","Se encuentra en proceso, pero requiere continuar con acciones dirigidas a contar con dicho aspecto de control.","No se encuentra el aspecto  por lo tanto la entidad debera generar acciones dirigidas a que se cumpla con el requerimiento."))</f>
        <v>Existe requerimiento pero se requiere actividades  dirigidas a su mantenimiento dentro del marco de las lineas de defensa.</v>
      </c>
      <c r="I19" s="130">
        <f>+IF(F19="Si",1,IF(F19="En proceso",0.5,0))</f>
        <v>1</v>
      </c>
      <c r="J19" s="269">
        <f>+AVERAGE(I19:I30)</f>
        <v>1</v>
      </c>
    </row>
    <row r="20" spans="1:10" ht="57" x14ac:dyDescent="0.25">
      <c r="A20" s="1"/>
      <c r="B20" s="1"/>
      <c r="C20" s="129">
        <v>2</v>
      </c>
      <c r="D20" s="257"/>
      <c r="E20" s="115" t="str">
        <f>+IFERROR(INDEX(Hoja1!$E$2:$E$45,MATCH('Análisis Resultados'!C20,Hoja1!$H$2:$H$45,0)),"")</f>
        <v>Un documento tal como un código de ética, integridad u otro que formalice los estándares de conducta, los principios institucionales o los valores del servicio público</v>
      </c>
      <c r="F20" s="116" t="str">
        <f>+IFERROR(VLOOKUP(C20,Hoja1!$H$2:$I$45,2,0),"")</f>
        <v>Si</v>
      </c>
      <c r="G20" s="117" t="str">
        <f t="shared" ref="G20:G62" si="0">+IF(F20="Si","Existe requerimiento pero se requiere actividades  dirigidas a su mantenimiento dentro del marco de las lineas de defensa.",IF(F20="En proceso","Se encuentra en proceso, pero requiere continuar con acciones dirigidas a contar con dicho aspecto de control.","No se encuentra el aspecto  por lo tanto la entidad debera generar acciones dirigidas a que se cumpla con el requerimiento."))</f>
        <v>Existe requerimiento pero se requiere actividades  dirigidas a su mantenimiento dentro del marco de las lineas de defensa.</v>
      </c>
      <c r="I20" s="131">
        <f t="shared" ref="I20:I62" si="1">+IF(F20="Si",1,IF(F20="En proceso",0.5,0))</f>
        <v>1</v>
      </c>
      <c r="J20" s="270"/>
    </row>
    <row r="21" spans="1:10" ht="45" x14ac:dyDescent="0.25">
      <c r="A21" s="1"/>
      <c r="B21" s="1"/>
      <c r="C21" s="129">
        <v>3</v>
      </c>
      <c r="D21" s="257"/>
      <c r="E21" s="115" t="str">
        <f>+IFERROR(INDEX(Hoja1!$E$2:$E$45,MATCH('Análisis Resultados'!C21,Hoja1!$H$2:$H$45,0)),"")</f>
        <v>Planes, programas y proyectos de acuerdo con las normas que rigen y atendiendo con su propósito fundamental institucional (misión)</v>
      </c>
      <c r="F21" s="116" t="str">
        <f>+IFERROR(VLOOKUP(C21,Hoja1!$H$2:$I$45,2,0),"")</f>
        <v>Si</v>
      </c>
      <c r="G21" s="117" t="str">
        <f t="shared" si="0"/>
        <v>Existe requerimiento pero se requiere actividades  dirigidas a su mantenimiento dentro del marco de las lineas de defensa.</v>
      </c>
      <c r="I21" s="131">
        <f t="shared" si="1"/>
        <v>1</v>
      </c>
      <c r="J21" s="270"/>
    </row>
    <row r="22" spans="1:10" ht="56.25" customHeight="1" x14ac:dyDescent="0.25">
      <c r="A22" s="1"/>
      <c r="B22" s="1"/>
      <c r="C22" s="129">
        <v>4</v>
      </c>
      <c r="D22" s="257"/>
      <c r="E22" s="115" t="str">
        <f>+IFERROR(INDEX(Hoja1!$E$2:$E$45,MATCH('Análisis Resultados'!C22,Hoja1!$H$2:$H$45,0)),"")</f>
        <v>Una estructura organizacional formalizada (organigrama)</v>
      </c>
      <c r="F22" s="116" t="str">
        <f>+IFERROR(VLOOKUP(C22,Hoja1!$H$2:$I$45,2,0),"")</f>
        <v>Si</v>
      </c>
      <c r="G22" s="117" t="str">
        <f t="shared" si="0"/>
        <v>Existe requerimiento pero se requiere actividades  dirigidas a su mantenimiento dentro del marco de las lineas de defensa.</v>
      </c>
      <c r="I22" s="131">
        <f t="shared" si="1"/>
        <v>1</v>
      </c>
      <c r="J22" s="270"/>
    </row>
    <row r="23" spans="1:10" ht="45" x14ac:dyDescent="0.25">
      <c r="A23" s="1"/>
      <c r="B23" s="1"/>
      <c r="C23" s="129">
        <v>5</v>
      </c>
      <c r="D23" s="257"/>
      <c r="E23" s="115" t="str">
        <f>+IFERROR(INDEX(Hoja1!$E$2:$E$45,MATCH('Análisis Resultados'!C23,Hoja1!$H$2:$H$45,0)),"")</f>
        <v>Un manual de funciones que describa los empleos de la entidad</v>
      </c>
      <c r="F23" s="116" t="str">
        <f>+IFERROR(VLOOKUP(C23,Hoja1!$H$2:$I$45,2,0),"")</f>
        <v>Si</v>
      </c>
      <c r="G23" s="117" t="str">
        <f t="shared" si="0"/>
        <v>Existe requerimiento pero se requiere actividades  dirigidas a su mantenimiento dentro del marco de las lineas de defensa.</v>
      </c>
      <c r="I23" s="131">
        <f t="shared" si="1"/>
        <v>1</v>
      </c>
      <c r="J23" s="270"/>
    </row>
    <row r="24" spans="1:10" ht="45" x14ac:dyDescent="0.25">
      <c r="A24" s="1"/>
      <c r="B24" s="1"/>
      <c r="C24" s="129">
        <v>6</v>
      </c>
      <c r="D24" s="257"/>
      <c r="E24" s="115" t="str">
        <f>+IFERROR(INDEX(Hoja1!$E$2:$E$45,MATCH('Análisis Resultados'!C24,Hoja1!$H$2:$H$45,0)),"")</f>
        <v>La documentación de sus procesos y procedimientos o bien una lista de actividades principales que permitan conocer el estado de su gestión</v>
      </c>
      <c r="F24" s="116" t="str">
        <f>+IFERROR(VLOOKUP(C24,Hoja1!$H$2:$I$45,2,0),"")</f>
        <v>Si</v>
      </c>
      <c r="G24" s="117" t="str">
        <f t="shared" si="0"/>
        <v>Existe requerimiento pero se requiere actividades  dirigidas a su mantenimiento dentro del marco de las lineas de defensa.</v>
      </c>
      <c r="I24" s="131">
        <f t="shared" si="1"/>
        <v>1</v>
      </c>
      <c r="J24" s="270"/>
    </row>
    <row r="25" spans="1:10" ht="45" x14ac:dyDescent="0.25">
      <c r="A25" s="1"/>
      <c r="B25" s="1"/>
      <c r="C25" s="129">
        <v>7</v>
      </c>
      <c r="D25" s="257"/>
      <c r="E25" s="115" t="str">
        <f>+IFERROR(INDEX(Hoja1!$E$2:$E$45,MATCH('Análisis Resultados'!C25,Hoja1!$H$2:$H$45,0)),"")</f>
        <v>Vinculación de los servidores públicos de acuerdo con el marco normativo que les rige (carrera administrativa, libre nombramiento y remoción, entre otros)</v>
      </c>
      <c r="F25" s="116" t="str">
        <f>+IFERROR(VLOOKUP(C25,Hoja1!$H$2:$I$45,2,0),"")</f>
        <v>Si</v>
      </c>
      <c r="G25" s="117" t="str">
        <f t="shared" si="0"/>
        <v>Existe requerimiento pero se requiere actividades  dirigidas a su mantenimiento dentro del marco de las lineas de defensa.</v>
      </c>
      <c r="I25" s="131">
        <f t="shared" si="1"/>
        <v>1</v>
      </c>
      <c r="J25" s="270"/>
    </row>
    <row r="26" spans="1:10" ht="45" x14ac:dyDescent="0.25">
      <c r="A26" s="1"/>
      <c r="B26" s="1"/>
      <c r="C26" s="129">
        <v>8</v>
      </c>
      <c r="D26" s="257"/>
      <c r="E26" s="115" t="str">
        <f>+IFERROR(INDEX(Hoja1!$E$2:$E$45,MATCH('Análisis Resultados'!C26,Hoja1!$H$2:$H$45,0)),"")</f>
        <v>Procesos de inducción, capacitación y bienestar social para sus servidores públicos, de manera directa o en asociación con otras entidades municipales</v>
      </c>
      <c r="F26" s="116" t="str">
        <f>+IFERROR(VLOOKUP(C26,Hoja1!$H$2:$I$45,2,0),"")</f>
        <v>Si</v>
      </c>
      <c r="G26" s="117" t="str">
        <f t="shared" si="0"/>
        <v>Existe requerimiento pero se requiere actividades  dirigidas a su mantenimiento dentro del marco de las lineas de defensa.</v>
      </c>
      <c r="I26" s="131">
        <f t="shared" si="1"/>
        <v>1</v>
      </c>
      <c r="J26" s="270"/>
    </row>
    <row r="27" spans="1:10" ht="45" x14ac:dyDescent="0.25">
      <c r="A27" s="1"/>
      <c r="B27" s="1"/>
      <c r="C27" s="129">
        <v>9</v>
      </c>
      <c r="D27" s="257"/>
      <c r="E27" s="115" t="str">
        <f>+IFERROR(INDEX(Hoja1!$E$2:$E$45,MATCH('Análisis Resultados'!C27,Hoja1!$H$2:$H$45,0)),"")</f>
        <v>Evaluación a los servidores públicos de acuerdo con el marco normativo que le rige</v>
      </c>
      <c r="F27" s="116" t="str">
        <f>+IFERROR(VLOOKUP(C27,Hoja1!$H$2:$I$45,2,0),"")</f>
        <v>Si</v>
      </c>
      <c r="G27" s="117" t="str">
        <f t="shared" si="0"/>
        <v>Existe requerimiento pero se requiere actividades  dirigidas a su mantenimiento dentro del marco de las lineas de defensa.</v>
      </c>
      <c r="I27" s="131">
        <f t="shared" si="1"/>
        <v>1</v>
      </c>
      <c r="J27" s="270"/>
    </row>
    <row r="28" spans="1:10" ht="45" x14ac:dyDescent="0.25">
      <c r="A28" s="1"/>
      <c r="B28" s="1"/>
      <c r="C28" s="129">
        <v>10</v>
      </c>
      <c r="D28" s="257"/>
      <c r="E28" s="115" t="str">
        <f>+IFERROR(INDEX(Hoja1!$E$2:$E$45,MATCH('Análisis Resultados'!C28,Hoja1!$H$2:$H$45,0)),"")</f>
        <v>Procesos de desvinculación de servidores de acuerdo con lo previsto en la Constitución Política y las leyes</v>
      </c>
      <c r="F28" s="116" t="str">
        <f>+IFERROR(VLOOKUP(C28,Hoja1!$H$2:$I$45,2,0),"")</f>
        <v>Si</v>
      </c>
      <c r="G28" s="117" t="str">
        <f t="shared" si="0"/>
        <v>Existe requerimiento pero se requiere actividades  dirigidas a su mantenimiento dentro del marco de las lineas de defensa.</v>
      </c>
      <c r="I28" s="131">
        <f t="shared" si="1"/>
        <v>1</v>
      </c>
      <c r="J28" s="270"/>
    </row>
    <row r="29" spans="1:10" ht="45" x14ac:dyDescent="0.25">
      <c r="A29" s="1"/>
      <c r="B29" s="1"/>
      <c r="C29" s="129">
        <v>11</v>
      </c>
      <c r="D29" s="257"/>
      <c r="E29" s="115" t="str">
        <f>+IFERROR(INDEX(Hoja1!$E$2:$E$45,MATCH('Análisis Resultados'!C29,Hoja1!$H$2:$H$45,0)),"")</f>
        <v>Mecanismos de rendición de cuentas a la ciudadanía</v>
      </c>
      <c r="F29" s="116" t="str">
        <f>+IFERROR(VLOOKUP(C29,Hoja1!$H$2:$I$45,2,0),"")</f>
        <v>Si</v>
      </c>
      <c r="G29" s="117" t="str">
        <f>+IF(F29="Si","Existe requerimiento pero se requiere actividades  dirigidas a su mantenimiento dentro del marco de las lineas de defensa.",IF(F29="En proceso","Se encuentra en proceso, pero requiere continuar con acciones dirigidas a contar con dicho aspecto de control.","No se encuentra el aspecto  por lo tanto la entidad debera generar acciones dirigidas a que se cumpla con el requerimiento."))</f>
        <v>Existe requerimiento pero se requiere actividades  dirigidas a su mantenimiento dentro del marco de las lineas de defensa.</v>
      </c>
      <c r="I29" s="131">
        <f t="shared" si="1"/>
        <v>1</v>
      </c>
      <c r="J29" s="270"/>
    </row>
    <row r="30" spans="1:10" ht="45.75" thickBot="1" x14ac:dyDescent="0.3">
      <c r="A30" s="1"/>
      <c r="B30" s="1"/>
      <c r="C30" s="129">
        <v>12</v>
      </c>
      <c r="D30" s="258"/>
      <c r="E30" s="118" t="str">
        <f>+IFERROR(INDEX(Hoja1!$E$2:$E$45,MATCH('Análisis Resultados'!C30,Hoja1!$H$2:$H$45,0)),"")</f>
        <v>Presentación oportuna de sus informes de gestión a las autoridades competentes</v>
      </c>
      <c r="F30" s="119" t="str">
        <f>+IFERROR(VLOOKUP(C30,Hoja1!$H$2:$I$45,2,0),"")</f>
        <v>Si</v>
      </c>
      <c r="G30" s="120" t="str">
        <f t="shared" si="0"/>
        <v>Existe requerimiento pero se requiere actividades  dirigidas a su mantenimiento dentro del marco de las lineas de defensa.</v>
      </c>
      <c r="I30" s="132">
        <f t="shared" si="1"/>
        <v>1</v>
      </c>
      <c r="J30" s="271"/>
    </row>
    <row r="31" spans="1:10" ht="45" customHeight="1" x14ac:dyDescent="0.25">
      <c r="A31" s="1"/>
      <c r="B31" s="1"/>
      <c r="C31" s="129">
        <v>13</v>
      </c>
      <c r="D31" s="283" t="s">
        <v>60</v>
      </c>
      <c r="E31" s="112" t="str">
        <f>+IFERROR(INDEX(Hoja1!$E$2:$E$45,MATCH('Análisis Resultados'!C31,Hoja1!$H$2:$H$45,0)),"")</f>
        <v>Solamente hasta que un organismo de control actúa se definen acciones de mejora.</v>
      </c>
      <c r="F31" s="113" t="str">
        <f>+IFERROR(VLOOKUP(C31,Hoja1!$H$2:$I$45,2,0),"")</f>
        <v>En proceso</v>
      </c>
      <c r="G31" s="114" t="str">
        <f t="shared" si="0"/>
        <v>Se encuentra en proceso, pero requiere continuar con acciones dirigidas a contar con dicho aspecto de control.</v>
      </c>
      <c r="I31" s="130">
        <f t="shared" si="1"/>
        <v>0.5</v>
      </c>
      <c r="J31" s="267">
        <f>+AVERAGE(I31:I40)</f>
        <v>0.95</v>
      </c>
    </row>
    <row r="32" spans="1:10" ht="57" customHeight="1" x14ac:dyDescent="0.25">
      <c r="A32" s="1"/>
      <c r="B32" s="1"/>
      <c r="C32" s="129">
        <v>14</v>
      </c>
      <c r="D32" s="284"/>
      <c r="E32" s="115" t="str">
        <f>+IFERROR(INDEX(Hoja1!$E$2:$E$45,MATCH('Análisis Resultados'!C32,Hoja1!$H$2:$H$45,0)),"")</f>
        <v>La identificación de cambios en su entorno que pueden generar consecuencias negativas en su gestión</v>
      </c>
      <c r="F32" s="116" t="str">
        <f>+IFERROR(VLOOKUP(C32,Hoja1!$H$2:$I$45,2,0),"")</f>
        <v>Si</v>
      </c>
      <c r="G32" s="117" t="str">
        <f t="shared" si="0"/>
        <v>Existe requerimiento pero se requiere actividades  dirigidas a su mantenimiento dentro del marco de las lineas de defensa.</v>
      </c>
      <c r="I32" s="131">
        <f t="shared" si="1"/>
        <v>1</v>
      </c>
      <c r="J32" s="268"/>
    </row>
    <row r="33" spans="1:10" ht="54" customHeight="1" x14ac:dyDescent="0.25">
      <c r="A33" s="1"/>
      <c r="B33" s="1"/>
      <c r="C33" s="129">
        <v>15</v>
      </c>
      <c r="D33" s="284"/>
      <c r="E33" s="115" t="str">
        <f>+IFERROR(INDEX(Hoja1!$E$2:$E$45,MATCH('Análisis Resultados'!C33,Hoja1!$H$2:$H$45,0)),"")</f>
        <v>La identificación de aquellos problemas o aspectos que pueden afectar el cumplimiento de los planes de la entidad y en general su gestión institucional (riesgos)</v>
      </c>
      <c r="F33" s="116" t="str">
        <f>+IFERROR(VLOOKUP(C33,Hoja1!$H$2:$I$45,2,0),"")</f>
        <v>Si</v>
      </c>
      <c r="G33" s="117" t="str">
        <f t="shared" si="0"/>
        <v>Existe requerimiento pero se requiere actividades  dirigidas a su mantenimiento dentro del marco de las lineas de defensa.</v>
      </c>
      <c r="I33" s="131">
        <f t="shared" si="1"/>
        <v>1</v>
      </c>
      <c r="J33" s="268"/>
    </row>
    <row r="34" spans="1:10" ht="45" x14ac:dyDescent="0.25">
      <c r="A34" s="1"/>
      <c r="B34" s="1"/>
      <c r="C34" s="129">
        <v>16</v>
      </c>
      <c r="D34" s="284"/>
      <c r="E34" s="115" t="str">
        <f>+IFERROR(INDEX(Hoja1!$E$2:$E$45,MATCH('Análisis Resultados'!C34,Hoja1!$H$2:$H$45,0)),"")</f>
        <v>La identificación  de los riesgos relacionados con posibles actos de corrupción en el ejercicio de sus funciones</v>
      </c>
      <c r="F34" s="116" t="str">
        <f>+IFERROR(VLOOKUP(C34,Hoja1!$H$2:$I$45,2,0),"")</f>
        <v>Si</v>
      </c>
      <c r="G34" s="117" t="str">
        <f t="shared" si="0"/>
        <v>Existe requerimiento pero se requiere actividades  dirigidas a su mantenimiento dentro del marco de las lineas de defensa.</v>
      </c>
      <c r="I34" s="131">
        <f t="shared" si="1"/>
        <v>1</v>
      </c>
      <c r="J34" s="268"/>
    </row>
    <row r="35" spans="1:10" ht="67.5" customHeight="1" x14ac:dyDescent="0.25">
      <c r="A35" s="1"/>
      <c r="B35" s="1"/>
      <c r="C35" s="129">
        <v>17</v>
      </c>
      <c r="D35" s="284"/>
      <c r="E35" s="115" t="str">
        <f>+IFERROR(INDEX(Hoja1!$E$2:$E$45,MATCH('Análisis Resultados'!C35,Hoja1!$H$2:$H$45,0)),"")</f>
        <v>Si su capacidad e infraestructura lo permite, identificación de riesgos asociados a las tecnologías de la información y las comunicaciones</v>
      </c>
      <c r="F35" s="116" t="str">
        <f>+IFERROR(VLOOKUP(C35,Hoja1!$H$2:$I$45,2,0),"")</f>
        <v>Si</v>
      </c>
      <c r="G35" s="117" t="str">
        <f t="shared" si="0"/>
        <v>Existe requerimiento pero se requiere actividades  dirigidas a su mantenimiento dentro del marco de las lineas de defensa.</v>
      </c>
      <c r="I35" s="131">
        <f t="shared" si="1"/>
        <v>1</v>
      </c>
      <c r="J35" s="268"/>
    </row>
    <row r="36" spans="1:10" ht="45" x14ac:dyDescent="0.25">
      <c r="A36" s="1"/>
      <c r="B36" s="1"/>
      <c r="C36" s="129">
        <v>18</v>
      </c>
      <c r="D36" s="284"/>
      <c r="E36" s="115" t="str">
        <f>+IFERROR(INDEX(Hoja1!$E$2:$E$45,MATCH('Análisis Resultados'!C36,Hoja1!$H$2:$H$45,0)),"")</f>
        <v>Hacen seguimiento a los problemas (riesgos)  que pueden afectar el cumplimiento de sus procesos, programas o proyectos a cargo</v>
      </c>
      <c r="F36" s="116" t="str">
        <f>+IFERROR(VLOOKUP(C36,Hoja1!$H$2:$I$45,2,0),"")</f>
        <v>Si</v>
      </c>
      <c r="G36" s="117" t="str">
        <f t="shared" si="0"/>
        <v>Existe requerimiento pero se requiere actividades  dirigidas a su mantenimiento dentro del marco de las lineas de defensa.</v>
      </c>
      <c r="I36" s="131">
        <f t="shared" si="1"/>
        <v>1</v>
      </c>
      <c r="J36" s="268"/>
    </row>
    <row r="37" spans="1:10" ht="57" customHeight="1" x14ac:dyDescent="0.25">
      <c r="A37" s="1"/>
      <c r="B37" s="1"/>
      <c r="C37" s="129">
        <v>19</v>
      </c>
      <c r="D37" s="284"/>
      <c r="E37" s="115" t="str">
        <f>+IFERROR(INDEX(Hoja1!$E$2:$E$45,MATCH('Análisis Resultados'!C37,Hoja1!$H$2:$H$45,0)),"")</f>
        <v>Informan de manera periódica a quien corresponda sobre el desempeño de las actividades de gestión de riesgos</v>
      </c>
      <c r="F37" s="116" t="str">
        <f>+IFERROR(VLOOKUP(C37,Hoja1!$H$2:$I$45,2,0),"")</f>
        <v>Si</v>
      </c>
      <c r="G37" s="117" t="str">
        <f t="shared" si="0"/>
        <v>Existe requerimiento pero se requiere actividades  dirigidas a su mantenimiento dentro del marco de las lineas de defensa.</v>
      </c>
      <c r="I37" s="131">
        <f t="shared" si="1"/>
        <v>1</v>
      </c>
      <c r="J37" s="268"/>
    </row>
    <row r="38" spans="1:10" ht="45" x14ac:dyDescent="0.25">
      <c r="A38" s="1"/>
      <c r="B38" s="1"/>
      <c r="C38" s="129">
        <v>20</v>
      </c>
      <c r="D38" s="284"/>
      <c r="E38" s="115" t="str">
        <f>+IFERROR(INDEX(Hoja1!$E$2:$E$45,MATCH('Análisis Resultados'!C38,Hoja1!$H$2:$H$45,0)),"")</f>
        <v>Identifican deficiencias en las maneras de  controlar los riesgos o problemas en sus procesos, programas o proyectos, y propone los ajustes necesarios</v>
      </c>
      <c r="F38" s="116" t="str">
        <f>+IFERROR(VLOOKUP(C38,Hoja1!$H$2:$I$45,2,0),"")</f>
        <v>Si</v>
      </c>
      <c r="G38" s="117" t="str">
        <f t="shared" si="0"/>
        <v>Existe requerimiento pero se requiere actividades  dirigidas a su mantenimiento dentro del marco de las lineas de defensa.</v>
      </c>
      <c r="I38" s="131">
        <f t="shared" si="1"/>
        <v>1</v>
      </c>
      <c r="J38" s="268"/>
    </row>
    <row r="39" spans="1:10" ht="45" x14ac:dyDescent="0.25">
      <c r="A39" s="1"/>
      <c r="B39" s="1"/>
      <c r="C39" s="129">
        <v>21</v>
      </c>
      <c r="D39" s="284"/>
      <c r="E39" s="115" t="str">
        <f>+IFERROR(INDEX(Hoja1!$E$2:$E$45,MATCH('Análisis Resultados'!C39,Hoja1!$H$2:$H$45,0)),"")</f>
        <v>Se definen espacios de reunión para conocerlos y proponer acciones para su solución</v>
      </c>
      <c r="F39" s="116" t="str">
        <f>+IFERROR(VLOOKUP(C39,Hoja1!$H$2:$I$45,2,0),"")</f>
        <v>Si</v>
      </c>
      <c r="G39" s="117" t="str">
        <f t="shared" si="0"/>
        <v>Existe requerimiento pero se requiere actividades  dirigidas a su mantenimiento dentro del marco de las lineas de defensa.</v>
      </c>
      <c r="I39" s="131">
        <f t="shared" si="1"/>
        <v>1</v>
      </c>
      <c r="J39" s="268"/>
    </row>
    <row r="40" spans="1:10" ht="45.75" thickBot="1" x14ac:dyDescent="0.3">
      <c r="A40" s="1"/>
      <c r="B40" s="1"/>
      <c r="C40" s="129">
        <v>22</v>
      </c>
      <c r="D40" s="284"/>
      <c r="E40" s="121" t="str">
        <f>+IFERROR(INDEX(Hoja1!$E$2:$E$45,MATCH('Análisis Resultados'!C40,Hoja1!$H$2:$H$45,0)),"")</f>
        <v>Cada líder del equipo autónomamente toma las acciones para solucionarlos.</v>
      </c>
      <c r="F40" s="122" t="str">
        <f>+IFERROR(VLOOKUP(C40,Hoja1!$H$2:$I$45,2,0),"")</f>
        <v>Si</v>
      </c>
      <c r="G40" s="123" t="str">
        <f t="shared" si="0"/>
        <v>Existe requerimiento pero se requiere actividades  dirigidas a su mantenimiento dentro del marco de las lineas de defensa.</v>
      </c>
      <c r="I40" s="133">
        <f t="shared" si="1"/>
        <v>1</v>
      </c>
      <c r="J40" s="268"/>
    </row>
    <row r="41" spans="1:10" ht="87.75" customHeight="1" x14ac:dyDescent="0.25">
      <c r="A41" s="1"/>
      <c r="B41" s="1"/>
      <c r="C41" s="129">
        <v>23</v>
      </c>
      <c r="D41" s="279" t="s">
        <v>78</v>
      </c>
      <c r="E41" s="112" t="str">
        <f>+IFERROR(INDEX(Hoja1!$E$2:$E$45,MATCH('Análisis Resultados'!C41,Hoja1!$H$2:$H$45,0)),"")</f>
        <v>Planes, acciones o estrategias que permitan subsanar las consecuencias de la materialización de los riesgos, cuando se presentan</v>
      </c>
      <c r="F41" s="113" t="str">
        <f>+IFERROR(VLOOKUP(C41,Hoja1!$H$2:$I$45,2,0),"")</f>
        <v>En proceso</v>
      </c>
      <c r="G41" s="114" t="str">
        <f t="shared" si="0"/>
        <v>Se encuentra en proceso, pero requiere continuar con acciones dirigidas a contar con dicho aspecto de control.</v>
      </c>
      <c r="I41" s="130">
        <f t="shared" si="1"/>
        <v>0.5</v>
      </c>
      <c r="J41" s="267">
        <f>+AVERAGE(I41:I45)</f>
        <v>0.9</v>
      </c>
    </row>
    <row r="42" spans="1:10" ht="57" x14ac:dyDescent="0.25">
      <c r="A42" s="1"/>
      <c r="B42" s="1"/>
      <c r="C42" s="129">
        <v>24</v>
      </c>
      <c r="D42" s="280"/>
      <c r="E42" s="115" t="str">
        <f>+IFERROR(INDEX(Hoja1!$E$2:$E$45,MATCH('Análisis Resultados'!C42,Hoja1!$H$2:$H$45,0)),"")</f>
        <v>La definición de acciones o actividades para para dar tratamiento a los problemas identificados (mitigación de riesgos), incluyendo aquellos asociados a posibles actos de corrupción</v>
      </c>
      <c r="F42" s="116" t="str">
        <f>+IFERROR(VLOOKUP(C42,Hoja1!$H$2:$I$45,2,0),"")</f>
        <v>Si</v>
      </c>
      <c r="G42" s="117" t="str">
        <f t="shared" si="0"/>
        <v>Existe requerimiento pero se requiere actividades  dirigidas a su mantenimiento dentro del marco de las lineas de defensa.</v>
      </c>
      <c r="I42" s="131">
        <f t="shared" si="1"/>
        <v>1</v>
      </c>
      <c r="J42" s="268"/>
    </row>
    <row r="43" spans="1:10" ht="85.5" customHeight="1" x14ac:dyDescent="0.25">
      <c r="A43" s="1"/>
      <c r="B43" s="1"/>
      <c r="C43" s="129">
        <v>25</v>
      </c>
      <c r="D43" s="280"/>
      <c r="E43" s="115" t="str">
        <f>+IFERROR(INDEX(Hoja1!$E$2:$E$45,MATCH('Análisis Resultados'!C43,Hoja1!$H$2:$H$45,0)),"")</f>
        <v>Mecanismos de verificación de si se están o no mitigando los riesgos, o en su defecto, elaboración de planes de contingencia para subsanar sus consecuencias</v>
      </c>
      <c r="F43" s="116" t="str">
        <f>+IFERROR(VLOOKUP(C43,Hoja1!$H$2:$I$45,2,0),"")</f>
        <v>Si</v>
      </c>
      <c r="G43" s="117" t="str">
        <f t="shared" si="0"/>
        <v>Existe requerimiento pero se requiere actividades  dirigidas a su mantenimiento dentro del marco de las lineas de defensa.</v>
      </c>
      <c r="I43" s="131">
        <f t="shared" si="1"/>
        <v>1</v>
      </c>
      <c r="J43" s="268"/>
    </row>
    <row r="44" spans="1:10" ht="57" customHeight="1" x14ac:dyDescent="0.25">
      <c r="A44" s="1"/>
      <c r="B44" s="1"/>
      <c r="C44" s="129">
        <v>26</v>
      </c>
      <c r="D44" s="280"/>
      <c r="E44" s="115" t="str">
        <f>+IFERROR(INDEX(Hoja1!$E$2:$E$45,MATCH('Análisis Resultados'!C44,Hoja1!$H$2:$H$45,0)),"")</f>
        <v>Un documento que consolide  los riesgos  y el tratamiento que se les da, incluyendo aquellos que conllevan posibles actos de corrupción y si la capacidad e infraestructura lo permite, los asociados con las tecnologías de la información y las comunicaciones</v>
      </c>
      <c r="F44" s="116" t="str">
        <f>+IFERROR(VLOOKUP(C44,Hoja1!$H$2:$I$45,2,0),"")</f>
        <v>Si</v>
      </c>
      <c r="G44" s="117" t="str">
        <f t="shared" si="0"/>
        <v>Existe requerimiento pero se requiere actividades  dirigidas a su mantenimiento dentro del marco de las lineas de defensa.</v>
      </c>
      <c r="I44" s="131">
        <f t="shared" si="1"/>
        <v>1</v>
      </c>
      <c r="J44" s="268"/>
    </row>
    <row r="45" spans="1:10" ht="57" customHeight="1" thickBot="1" x14ac:dyDescent="0.3">
      <c r="A45" s="1"/>
      <c r="B45" s="1"/>
      <c r="C45" s="129">
        <v>27</v>
      </c>
      <c r="D45" s="281"/>
      <c r="E45" s="118" t="str">
        <f>+IFERROR(INDEX(Hoja1!$E$2:$E$45,MATCH('Análisis Resultados'!C45,Hoja1!$H$2:$H$45,0)),"")</f>
        <v>Un plan anticorrupción y de servicio al ciudadano con los temas que le aplican, publicado en algún medio para conocimiento de la ciudadanía</v>
      </c>
      <c r="F45" s="119" t="str">
        <f>+IFERROR(VLOOKUP(C45,Hoja1!$H$2:$I$45,2,0),"")</f>
        <v>Si</v>
      </c>
      <c r="G45" s="120" t="str">
        <f t="shared" si="0"/>
        <v>Existe requerimiento pero se requiere actividades  dirigidas a su mantenimiento dentro del marco de las lineas de defensa.</v>
      </c>
      <c r="I45" s="132">
        <f t="shared" si="1"/>
        <v>1</v>
      </c>
      <c r="J45" s="282"/>
    </row>
    <row r="46" spans="1:10" ht="63.75" customHeight="1" x14ac:dyDescent="0.25">
      <c r="A46" s="1"/>
      <c r="B46" s="1"/>
      <c r="C46" s="129">
        <v>28</v>
      </c>
      <c r="D46" s="278" t="s">
        <v>86</v>
      </c>
      <c r="E46" s="124" t="str">
        <f>+IFERROR(INDEX(Hoja1!$E$2:$E$45,MATCH('Análisis Resultados'!C46,Hoja1!$H$2:$H$45,0)),"")</f>
        <v>Si su capacidad e infraestructura lo permite, tecnologías de la información y las comunicaciones que soporten estos procesos</v>
      </c>
      <c r="F46" s="125" t="str">
        <f>+IFERROR(VLOOKUP(C46,Hoja1!$H$2:$I$45,2,0),"")</f>
        <v>En proceso</v>
      </c>
      <c r="G46" s="126" t="str">
        <f t="shared" si="0"/>
        <v>Se encuentra en proceso, pero requiere continuar con acciones dirigidas a contar con dicho aspecto de control.</v>
      </c>
      <c r="I46" s="134">
        <f t="shared" si="1"/>
        <v>0.5</v>
      </c>
      <c r="J46" s="268">
        <f>+AVERAGE(I46:I52)</f>
        <v>0.9285714285714286</v>
      </c>
    </row>
    <row r="47" spans="1:10" ht="92.25" customHeight="1" x14ac:dyDescent="0.25">
      <c r="A47" s="1"/>
      <c r="B47" s="1"/>
      <c r="C47" s="129">
        <v>29</v>
      </c>
      <c r="D47" s="278"/>
      <c r="E47" s="115" t="str">
        <f>+IFERROR(INDEX(Hoja1!$E$2:$E$45,MATCH('Análisis Resultados'!C47,Hoja1!$H$2:$H$45,0)),"")</f>
        <v>Responsables de la información institucional</v>
      </c>
      <c r="F47" s="116" t="str">
        <f>+IFERROR(VLOOKUP(C47,Hoja1!$H$2:$I$45,2,0),"")</f>
        <v>Si</v>
      </c>
      <c r="G47" s="127" t="str">
        <f t="shared" si="0"/>
        <v>Existe requerimiento pero se requiere actividades  dirigidas a su mantenimiento dentro del marco de las lineas de defensa.</v>
      </c>
      <c r="I47" s="135">
        <f t="shared" si="1"/>
        <v>1</v>
      </c>
      <c r="J47" s="268"/>
    </row>
    <row r="48" spans="1:10" ht="66.75" customHeight="1" x14ac:dyDescent="0.25">
      <c r="A48" s="1"/>
      <c r="B48" s="1"/>
      <c r="C48" s="129">
        <v>30</v>
      </c>
      <c r="D48" s="278"/>
      <c r="E48" s="115" t="str">
        <f>+IFERROR(INDEX(Hoja1!$E$2:$E$45,MATCH('Análisis Resultados'!C48,Hoja1!$H$2:$H$45,0)),"")</f>
        <v>Canales de comunicación con los ciudadanos</v>
      </c>
      <c r="F48" s="116" t="str">
        <f>+IFERROR(VLOOKUP(C48,Hoja1!$H$2:$I$45,2,0),"")</f>
        <v>Si</v>
      </c>
      <c r="G48" s="127" t="str">
        <f t="shared" si="0"/>
        <v>Existe requerimiento pero se requiere actividades  dirigidas a su mantenimiento dentro del marco de las lineas de defensa.</v>
      </c>
      <c r="I48" s="135">
        <f t="shared" si="1"/>
        <v>1</v>
      </c>
      <c r="J48" s="268"/>
    </row>
    <row r="49" spans="1:10" ht="60" customHeight="1" x14ac:dyDescent="0.25">
      <c r="A49" s="1"/>
      <c r="B49" s="1"/>
      <c r="C49" s="129">
        <v>31</v>
      </c>
      <c r="D49" s="278"/>
      <c r="E49" s="115" t="str">
        <f>+IFERROR(INDEX(Hoja1!$E$2:$E$45,MATCH('Análisis Resultados'!C49,Hoja1!$H$2:$H$45,0)),"")</f>
        <v>Canales de comunicación o mecanismos de reporte de información a otros organismos gubernamentales o de control</v>
      </c>
      <c r="F49" s="116" t="str">
        <f>+IFERROR(VLOOKUP(C49,Hoja1!$H$2:$I$45,2,0),"")</f>
        <v>Si</v>
      </c>
      <c r="G49" s="127" t="str">
        <f t="shared" si="0"/>
        <v>Existe requerimiento pero se requiere actividades  dirigidas a su mantenimiento dentro del marco de las lineas de defensa.</v>
      </c>
      <c r="I49" s="135">
        <f t="shared" si="1"/>
        <v>1</v>
      </c>
      <c r="J49" s="268"/>
    </row>
    <row r="50" spans="1:10" ht="57" customHeight="1" x14ac:dyDescent="0.25">
      <c r="A50" s="1"/>
      <c r="B50" s="1"/>
      <c r="C50" s="129">
        <v>32</v>
      </c>
      <c r="D50" s="278"/>
      <c r="E50" s="115" t="str">
        <f>+IFERROR(INDEX(Hoja1!$E$2:$E$45,MATCH('Análisis Resultados'!C50,Hoja1!$H$2:$H$45,0)),"")</f>
        <v xml:space="preserve">Lineamientos para dar tratamiento a la información de carácter reservado </v>
      </c>
      <c r="F50" s="116" t="str">
        <f>+IFERROR(VLOOKUP(C50,Hoja1!$H$2:$I$45,2,0),"")</f>
        <v>Si</v>
      </c>
      <c r="G50" s="127" t="str">
        <f t="shared" si="0"/>
        <v>Existe requerimiento pero se requiere actividades  dirigidas a su mantenimiento dentro del marco de las lineas de defensa.</v>
      </c>
      <c r="I50" s="135">
        <f t="shared" si="1"/>
        <v>1</v>
      </c>
      <c r="J50" s="268"/>
    </row>
    <row r="51" spans="1:10" ht="57" customHeight="1" x14ac:dyDescent="0.25">
      <c r="A51" s="1"/>
      <c r="B51" s="1"/>
      <c r="C51" s="129">
        <v>33</v>
      </c>
      <c r="D51" s="278"/>
      <c r="E51" s="115" t="str">
        <f>+IFERROR(INDEX(Hoja1!$E$2:$E$45,MATCH('Análisis Resultados'!C51,Hoja1!$H$2:$H$45,0)),"")</f>
        <v>Identificación de información que produce en el marco de su gestión (Para los ciudadanos, organismos de control, organismos gubernamentales, entre otros)</v>
      </c>
      <c r="F51" s="116" t="str">
        <f>+IFERROR(VLOOKUP(C51,Hoja1!$H$2:$I$45,2,0),"")</f>
        <v>Si</v>
      </c>
      <c r="G51" s="127" t="str">
        <f t="shared" si="0"/>
        <v>Existe requerimiento pero se requiere actividades  dirigidas a su mantenimiento dentro del marco de las lineas de defensa.</v>
      </c>
      <c r="I51" s="135">
        <f t="shared" si="1"/>
        <v>1</v>
      </c>
      <c r="J51" s="268"/>
    </row>
    <row r="52" spans="1:10" ht="45.75" thickBot="1" x14ac:dyDescent="0.3">
      <c r="A52" s="1"/>
      <c r="B52" s="1"/>
      <c r="C52" s="129">
        <v>34</v>
      </c>
      <c r="D52" s="278"/>
      <c r="E52" s="121" t="str">
        <f>+IFERROR(INDEX(Hoja1!$E$2:$E$45,MATCH('Análisis Resultados'!C52,Hoja1!$H$2:$H$45,0)),"")</f>
        <v>Identificación de información necesaria para la operación de la entidad (normograma, presupuesto, talento humano, infraestructura física y tecnológica)</v>
      </c>
      <c r="F52" s="122" t="str">
        <f>+IFERROR(VLOOKUP(C52,Hoja1!$H$2:$I$45,2,0),"")</f>
        <v>Si</v>
      </c>
      <c r="G52" s="128" t="str">
        <f t="shared" si="0"/>
        <v>Existe requerimiento pero se requiere actividades  dirigidas a su mantenimiento dentro del marco de las lineas de defensa.</v>
      </c>
      <c r="I52" s="136">
        <f t="shared" si="1"/>
        <v>1</v>
      </c>
      <c r="J52" s="268"/>
    </row>
    <row r="53" spans="1:10" ht="41.25" customHeight="1" x14ac:dyDescent="0.25">
      <c r="A53" s="1"/>
      <c r="B53" s="1"/>
      <c r="C53" s="129">
        <v>35</v>
      </c>
      <c r="D53" s="272" t="s">
        <v>96</v>
      </c>
      <c r="E53" s="112" t="str">
        <f>+IFERROR(INDEX(Hoja1!$E$2:$E$45,MATCH('Análisis Resultados'!C53,Hoja1!$H$2:$H$45,0)),"")</f>
        <v>Ejecutar las acciones de acuerdo a como se diseñaron previamente.</v>
      </c>
      <c r="F53" s="113" t="str">
        <f>+IFERROR(VLOOKUP(C53,Hoja1!$H$2:$I$45,2,0),"")</f>
        <v>En proceso</v>
      </c>
      <c r="G53" s="114" t="str">
        <f t="shared" si="0"/>
        <v>Se encuentra en proceso, pero requiere continuar con acciones dirigidas a contar con dicho aspecto de control.</v>
      </c>
      <c r="I53" s="130">
        <f t="shared" si="1"/>
        <v>0.5</v>
      </c>
      <c r="J53" s="275">
        <f>+AVERAGE(I53:I62)</f>
        <v>0.9</v>
      </c>
    </row>
    <row r="54" spans="1:10" ht="58.5" customHeight="1" x14ac:dyDescent="0.25">
      <c r="A54" s="1"/>
      <c r="B54" s="1"/>
      <c r="C54" s="129">
        <v>36</v>
      </c>
      <c r="D54" s="273"/>
      <c r="E54" s="115" t="str">
        <f>+IFERROR(INDEX(Hoja1!$E$2:$E$45,MATCH('Análisis Resultados'!C54,Hoja1!$H$2:$H$45,0)),"")</f>
        <v>No se gestionan los problemas que afectan el cumplimiento de las funciones y objetivos institucionales(riesgos).</v>
      </c>
      <c r="F54" s="116" t="str">
        <f>+IFERROR(VLOOKUP(C54,Hoja1!$H$2:$I$45,2,0),"")</f>
        <v>En proceso</v>
      </c>
      <c r="G54" s="117" t="str">
        <f t="shared" si="0"/>
        <v>Se encuentra en proceso, pero requiere continuar con acciones dirigidas a contar con dicho aspecto de control.</v>
      </c>
      <c r="I54" s="131">
        <f t="shared" si="1"/>
        <v>0.5</v>
      </c>
      <c r="J54" s="276"/>
    </row>
    <row r="55" spans="1:10" s="1" customFormat="1" ht="84.75" customHeight="1" x14ac:dyDescent="0.25">
      <c r="C55" s="129">
        <v>37</v>
      </c>
      <c r="D55" s="273"/>
      <c r="E55" s="115" t="str">
        <f>+IFERROR(INDEX(Hoja1!$E$2:$E$45,MATCH('Análisis Resultados'!C55,Hoja1!$H$2:$H$45,0)),"")</f>
        <v>Mecanismos de evaluación de la gestión (cronogramas, indicadores, listas de chequeo u otros)</v>
      </c>
      <c r="F55" s="116" t="str">
        <f>+IFERROR(VLOOKUP(C55,Hoja1!$H$2:$I$45,2,0),"")</f>
        <v>Si</v>
      </c>
      <c r="G55" s="117" t="str">
        <f t="shared" si="0"/>
        <v>Existe requerimiento pero se requiere actividades  dirigidas a su mantenimiento dentro del marco de las lineas de defensa.</v>
      </c>
      <c r="I55" s="131">
        <f t="shared" si="1"/>
        <v>1</v>
      </c>
      <c r="J55" s="276"/>
    </row>
    <row r="56" spans="1:10" s="1" customFormat="1" ht="78.75" customHeight="1" x14ac:dyDescent="0.25">
      <c r="C56" s="129">
        <v>38</v>
      </c>
      <c r="D56" s="273"/>
      <c r="E56" s="115" t="str">
        <f>+IFERROR(INDEX(Hoja1!$E$2:$E$45,MATCH('Análisis Resultados'!C56,Hoja1!$H$2:$H$45,0)),"")</f>
        <v>Algún mecanismo para monitorear o supervisar el sistema de control interno institucional, ya sea por parte del representante legal, o del área de control interno (si la entidad cuenta con ella), o bien a través del Comité departamental o municipal de Auditoría.</v>
      </c>
      <c r="F56" s="116" t="str">
        <f>+IFERROR(VLOOKUP(C56,Hoja1!$H$2:$I$45,2,0),"")</f>
        <v>Si</v>
      </c>
      <c r="G56" s="117" t="str">
        <f t="shared" si="0"/>
        <v>Existe requerimiento pero se requiere actividades  dirigidas a su mantenimiento dentro del marco de las lineas de defensa.</v>
      </c>
      <c r="I56" s="131">
        <f t="shared" si="1"/>
        <v>1</v>
      </c>
      <c r="J56" s="276"/>
    </row>
    <row r="57" spans="1:10" s="1" customFormat="1" ht="54.75" customHeight="1" x14ac:dyDescent="0.25">
      <c r="C57" s="129">
        <v>39</v>
      </c>
      <c r="D57" s="273"/>
      <c r="E57" s="115" t="str">
        <f>+IFERROR(INDEX(Hoja1!$E$2:$E$45,MATCH('Análisis Resultados'!C57,Hoja1!$H$2:$H$45,0)),"")</f>
        <v>Medidas correctivas en caso de detectarse deficiencias en los ejercicios de evaluación, seguimiento o auditoría</v>
      </c>
      <c r="F57" s="116" t="str">
        <f>+IFERROR(VLOOKUP(C57,Hoja1!$H$2:$I$45,2,0),"")</f>
        <v>Si</v>
      </c>
      <c r="G57" s="117" t="str">
        <f t="shared" si="0"/>
        <v>Existe requerimiento pero se requiere actividades  dirigidas a su mantenimiento dentro del marco de las lineas de defensa.</v>
      </c>
      <c r="I57" s="131">
        <f t="shared" si="1"/>
        <v>1</v>
      </c>
      <c r="J57" s="276"/>
    </row>
    <row r="58" spans="1:10" s="1" customFormat="1" ht="68.25" customHeight="1" x14ac:dyDescent="0.25">
      <c r="C58" s="129">
        <v>40</v>
      </c>
      <c r="D58" s="273"/>
      <c r="E58" s="115" t="str">
        <f>+IFERROR(INDEX(Hoja1!$E$2:$E$45,MATCH('Análisis Resultados'!C58,Hoja1!$H$2:$H$45,0)),"")</f>
        <v>Seguimiento a los planes de mejoramiento suscritos con instancias de control internas o externas</v>
      </c>
      <c r="F58" s="116" t="str">
        <f>+IFERROR(VLOOKUP(C58,Hoja1!$H$2:$I$45,2,0),"")</f>
        <v>Si</v>
      </c>
      <c r="G58" s="117" t="str">
        <f t="shared" si="0"/>
        <v>Existe requerimiento pero se requiere actividades  dirigidas a su mantenimiento dentro del marco de las lineas de defensa.</v>
      </c>
      <c r="I58" s="131">
        <f t="shared" si="1"/>
        <v>1</v>
      </c>
      <c r="J58" s="276"/>
    </row>
    <row r="59" spans="1:10" s="1" customFormat="1" ht="45" customHeight="1" x14ac:dyDescent="0.25">
      <c r="C59" s="129">
        <v>41</v>
      </c>
      <c r="D59" s="273"/>
      <c r="E59" s="115" t="str">
        <f>+IFERROR(INDEX(Hoja1!$E$2:$E$45,MATCH('Análisis Resultados'!C59,Hoja1!$H$2:$H$45,0)),"")</f>
        <v>La entidad participa en el  Comité Municipal de Auditoría?</v>
      </c>
      <c r="F59" s="116" t="str">
        <f>+IFERROR(VLOOKUP(C59,Hoja1!$H$2:$I$45,2,0),"")</f>
        <v>Si</v>
      </c>
      <c r="G59" s="117" t="str">
        <f t="shared" si="0"/>
        <v>Existe requerimiento pero se requiere actividades  dirigidas a su mantenimiento dentro del marco de las lineas de defensa.</v>
      </c>
      <c r="I59" s="131">
        <f t="shared" si="1"/>
        <v>1</v>
      </c>
      <c r="J59" s="276"/>
    </row>
    <row r="60" spans="1:10" s="1" customFormat="1" ht="51.75" customHeight="1" x14ac:dyDescent="0.25">
      <c r="C60" s="129">
        <v>42</v>
      </c>
      <c r="D60" s="273"/>
      <c r="E60" s="115" t="str">
        <f>+IFERROR(INDEX(Hoja1!$E$2:$E$45,MATCH('Análisis Resultados'!C60,Hoja1!$H$2:$H$45,0)),"")</f>
        <v>Evitar que los problemas (riesgos) obstaculicen el cumplimiento de los objetivos.</v>
      </c>
      <c r="F60" s="116" t="str">
        <f>+IFERROR(VLOOKUP(C60,Hoja1!$H$2:$I$45,2,0),"")</f>
        <v>Si</v>
      </c>
      <c r="G60" s="117" t="str">
        <f t="shared" si="0"/>
        <v>Existe requerimiento pero se requiere actividades  dirigidas a su mantenimiento dentro del marco de las lineas de defensa.</v>
      </c>
      <c r="I60" s="131">
        <f t="shared" si="1"/>
        <v>1</v>
      </c>
      <c r="J60" s="276"/>
    </row>
    <row r="61" spans="1:10" s="1" customFormat="1" ht="84" customHeight="1" x14ac:dyDescent="0.25">
      <c r="C61" s="129">
        <v>43</v>
      </c>
      <c r="D61" s="273"/>
      <c r="E61" s="115" t="str">
        <f>+IFERROR(INDEX(Hoja1!$E$2:$E$45,MATCH('Análisis Resultados'!C61,Hoja1!$H$2:$H$45,0)),"")</f>
        <v>Controlar los puntos críticos en los procesos.</v>
      </c>
      <c r="F61" s="116" t="str">
        <f>+IFERROR(VLOOKUP(C61,Hoja1!$H$2:$I$45,2,0),"")</f>
        <v>Si</v>
      </c>
      <c r="G61" s="117" t="str">
        <f t="shared" si="0"/>
        <v>Existe requerimiento pero se requiere actividades  dirigidas a su mantenimiento dentro del marco de las lineas de defensa.</v>
      </c>
      <c r="I61" s="131">
        <f t="shared" si="1"/>
        <v>1</v>
      </c>
      <c r="J61" s="276"/>
    </row>
    <row r="62" spans="1:10" s="1" customFormat="1" ht="60" customHeight="1" thickBot="1" x14ac:dyDescent="0.3">
      <c r="C62" s="129">
        <v>44</v>
      </c>
      <c r="D62" s="274"/>
      <c r="E62" s="118" t="str">
        <f>+IFERROR(INDEX(Hoja1!$E$2:$E$45,MATCH('Análisis Resultados'!C62,Hoja1!$H$2:$H$45,0)),"")</f>
        <v>Diseñar acciones adecuadas para controlar los problemas que afectan el cumplimiento de las metas y objetivos institucionales (riesgos).</v>
      </c>
      <c r="F62" s="119" t="str">
        <f>+IFERROR(VLOOKUP(C62,Hoja1!$H$2:$I$45,2,0),"")</f>
        <v>Si</v>
      </c>
      <c r="G62" s="120" t="str">
        <f t="shared" si="0"/>
        <v>Existe requerimiento pero se requiere actividades  dirigidas a su mantenimiento dentro del marco de las lineas de defensa.</v>
      </c>
      <c r="I62" s="132">
        <f t="shared" si="1"/>
        <v>1</v>
      </c>
      <c r="J62" s="277"/>
    </row>
    <row r="63" spans="1:10" s="1" customFormat="1" x14ac:dyDescent="0.25"/>
    <row r="64" spans="1:10" s="1" customFormat="1" x14ac:dyDescent="0.25"/>
    <row r="65" spans="1:2" s="1" customFormat="1" x14ac:dyDescent="0.25"/>
    <row r="66" spans="1:2" s="1" customFormat="1" x14ac:dyDescent="0.25"/>
    <row r="67" spans="1:2" s="1" customFormat="1" x14ac:dyDescent="0.25"/>
    <row r="68" spans="1:2" s="1" customFormat="1" x14ac:dyDescent="0.25"/>
    <row r="69" spans="1:2" s="1" customFormat="1" x14ac:dyDescent="0.25"/>
    <row r="70" spans="1:2" s="1" customFormat="1" x14ac:dyDescent="0.25"/>
    <row r="71" spans="1:2" x14ac:dyDescent="0.25">
      <c r="A71" s="1"/>
      <c r="B71" s="1"/>
    </row>
    <row r="72" spans="1:2" x14ac:dyDescent="0.25">
      <c r="A72" s="1"/>
      <c r="B72" s="1"/>
    </row>
    <row r="73" spans="1:2" x14ac:dyDescent="0.25">
      <c r="A73" s="1"/>
      <c r="B73" s="1"/>
    </row>
    <row r="74" spans="1:2" x14ac:dyDescent="0.25">
      <c r="A74" s="1"/>
      <c r="B74" s="1"/>
    </row>
  </sheetData>
  <sheetProtection algorithmName="SHA-512" hashValue="2c/K7BVeA+JOjsvnu2HILGfEHHcx80UTyQTucJ5c70tus45UaD3gXdqjB7xLC6LydtmfT9VN5B07LstuhHP+UQ==" saltValue="5+Ylqwr6SZ9tvbSyY2m3gQ==" spinCount="100000" sheet="1" objects="1" scenarios="1" formatCells="0"/>
  <mergeCells count="25">
    <mergeCell ref="J31:J40"/>
    <mergeCell ref="C12:D12"/>
    <mergeCell ref="E12:F12"/>
    <mergeCell ref="J19:J30"/>
    <mergeCell ref="D53:D62"/>
    <mergeCell ref="J53:J62"/>
    <mergeCell ref="D46:D52"/>
    <mergeCell ref="J46:J52"/>
    <mergeCell ref="D41:D45"/>
    <mergeCell ref="J41:J45"/>
    <mergeCell ref="D31:D40"/>
    <mergeCell ref="C11:D11"/>
    <mergeCell ref="E11:F11"/>
    <mergeCell ref="J17:J18"/>
    <mergeCell ref="D19:D30"/>
    <mergeCell ref="C17:C18"/>
    <mergeCell ref="D17:E17"/>
    <mergeCell ref="F17:F18"/>
    <mergeCell ref="G17:G18"/>
    <mergeCell ref="I17:I18"/>
    <mergeCell ref="C7:K7"/>
    <mergeCell ref="C9:D9"/>
    <mergeCell ref="E9:F9"/>
    <mergeCell ref="C10:D10"/>
    <mergeCell ref="E10:F10"/>
  </mergeCells>
  <conditionalFormatting sqref="I19:I62">
    <cfRule type="cellIs" dxfId="16" priority="4" operator="between">
      <formula>0.75</formula>
      <formula>1</formula>
    </cfRule>
    <cfRule type="cellIs" dxfId="15" priority="5" operator="between">
      <formula>0.5</formula>
      <formula>0.74</formula>
    </cfRule>
    <cfRule type="cellIs" dxfId="14" priority="6" operator="between">
      <formula>0</formula>
      <formula>0.49</formula>
    </cfRule>
  </conditionalFormatting>
  <conditionalFormatting sqref="J19:J31 J41 J46 J53">
    <cfRule type="cellIs" priority="1" operator="between">
      <formula>0.75</formula>
      <formula>1</formula>
    </cfRule>
    <cfRule type="cellIs" dxfId="13" priority="2" operator="between">
      <formula>0.5</formula>
      <formula>0.75</formula>
    </cfRule>
    <cfRule type="cellIs" dxfId="12" priority="3" operator="between">
      <formula>0</formula>
      <formula>0.49</formula>
    </cfRule>
  </conditionalFormatting>
  <pageMargins left="0.7" right="0.7" top="0.75" bottom="0.75" header="0.3" footer="0.3"/>
  <extLst>
    <ext xmlns:x14="http://schemas.microsoft.com/office/spreadsheetml/2009/9/main" uri="{78C0D931-6437-407d-A8EE-F0AAD7539E65}">
      <x14:conditionalFormattings>
        <x14:conditionalFormatting xmlns:xm="http://schemas.microsoft.com/office/excel/2006/main">
          <x14:cfRule type="containsText" priority="7" operator="containsText" id="{B5EC0094-D2B5-49BB-B6F9-E988382E1263}">
            <xm:f>NOT(ISERROR(SEARCH($E$12,G19)))</xm:f>
            <xm:f>$E$12</xm:f>
            <x14:dxf>
              <fill>
                <patternFill>
                  <bgColor rgb="FFFF0000"/>
                </patternFill>
              </fill>
            </x14:dxf>
          </x14:cfRule>
          <x14:cfRule type="containsText" priority="8" operator="containsText" id="{D802A135-824D-43A0-835B-FE63514274DE}">
            <xm:f>NOT(ISERROR(SEARCH($E$11,G19)))</xm:f>
            <xm:f>$E$11</xm:f>
            <x14:dxf>
              <fill>
                <patternFill>
                  <bgColor rgb="FFFFFF00"/>
                </patternFill>
              </fill>
            </x14:dxf>
          </x14:cfRule>
          <x14:cfRule type="containsText" priority="9" operator="containsText" id="{D7844022-1CB2-4683-9B09-8D3EA8F0FDED}">
            <xm:f>NOT(ISERROR(SEARCH($E$10,G19)))</xm:f>
            <xm:f>$E$10</xm:f>
            <x14:dxf>
              <fill>
                <patternFill>
                  <bgColor rgb="FF00B050"/>
                </patternFill>
              </fill>
            </x14:dxf>
          </x14:cfRule>
          <xm:sqref>G19:G62</xm:sqref>
        </x14:conditionalFormatting>
      </x14:conditionalFormatting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Q41"/>
  <sheetViews>
    <sheetView tabSelected="1" topLeftCell="A31" zoomScale="50" zoomScaleNormal="50" workbookViewId="0">
      <selection activeCell="I34" sqref="I34:M34"/>
    </sheetView>
  </sheetViews>
  <sheetFormatPr baseColWidth="10" defaultColWidth="11.42578125" defaultRowHeight="15" x14ac:dyDescent="0.25"/>
  <cols>
    <col min="1" max="1" width="4.42578125" customWidth="1"/>
    <col min="3" max="3" width="35.5703125" customWidth="1"/>
    <col min="4" max="4" width="13" customWidth="1"/>
    <col min="5" max="5" width="43.28515625" customWidth="1"/>
    <col min="7" max="7" width="33.85546875" customWidth="1"/>
    <col min="9" max="9" width="92.28515625" customWidth="1"/>
    <col min="13" max="13" width="29" customWidth="1"/>
  </cols>
  <sheetData>
    <row r="1" spans="1:17" s="1" customFormat="1" x14ac:dyDescent="0.25"/>
    <row r="2" spans="1:17" ht="15.75" thickBot="1" x14ac:dyDescent="0.3">
      <c r="A2" s="1"/>
      <c r="B2" s="1"/>
      <c r="C2" s="1"/>
      <c r="D2" s="1"/>
      <c r="E2" s="1"/>
      <c r="F2" s="1"/>
      <c r="G2" s="1"/>
      <c r="H2" s="1"/>
      <c r="I2" s="1"/>
      <c r="J2" s="1"/>
      <c r="K2" s="1"/>
      <c r="L2" s="1"/>
      <c r="M2" s="1"/>
      <c r="N2" s="1"/>
      <c r="O2" s="1"/>
      <c r="P2" s="1"/>
      <c r="Q2" s="1"/>
    </row>
    <row r="3" spans="1:17" ht="15.75" thickTop="1" x14ac:dyDescent="0.25">
      <c r="A3" s="1"/>
      <c r="B3" s="2"/>
      <c r="C3" s="3"/>
      <c r="D3" s="3"/>
      <c r="E3" s="3"/>
      <c r="F3" s="3"/>
      <c r="G3" s="3"/>
      <c r="H3" s="3"/>
      <c r="I3" s="3"/>
      <c r="J3" s="3"/>
      <c r="K3" s="3"/>
      <c r="L3" s="3"/>
      <c r="M3" s="3"/>
      <c r="N3" s="3"/>
      <c r="O3" s="3"/>
      <c r="P3" s="4"/>
      <c r="Q3" s="1"/>
    </row>
    <row r="4" spans="1:17" ht="16.5" x14ac:dyDescent="0.3">
      <c r="A4" s="1"/>
      <c r="B4" s="5"/>
      <c r="C4" s="1"/>
      <c r="D4" s="1"/>
      <c r="E4" s="298" t="s">
        <v>123</v>
      </c>
      <c r="F4" s="300" t="s">
        <v>201</v>
      </c>
      <c r="G4" s="300"/>
      <c r="H4" s="300"/>
      <c r="I4" s="300"/>
      <c r="J4" s="300"/>
      <c r="K4" s="300"/>
      <c r="L4" s="300"/>
      <c r="M4" s="300"/>
      <c r="N4" s="6"/>
      <c r="O4" s="6"/>
      <c r="P4" s="7"/>
      <c r="Q4" s="1"/>
    </row>
    <row r="5" spans="1:17" ht="45.75" customHeight="1" x14ac:dyDescent="0.3">
      <c r="A5" s="1"/>
      <c r="B5" s="5"/>
      <c r="C5" s="1"/>
      <c r="D5" s="1"/>
      <c r="E5" s="299"/>
      <c r="F5" s="300"/>
      <c r="G5" s="300"/>
      <c r="H5" s="300"/>
      <c r="I5" s="300"/>
      <c r="J5" s="300"/>
      <c r="K5" s="300"/>
      <c r="L5" s="300"/>
      <c r="M5" s="300"/>
      <c r="N5" s="6"/>
      <c r="O5" s="6"/>
      <c r="P5" s="7"/>
      <c r="Q5" s="1"/>
    </row>
    <row r="6" spans="1:17" ht="66.75" customHeight="1" x14ac:dyDescent="0.3">
      <c r="A6" s="1"/>
      <c r="B6" s="5"/>
      <c r="C6" s="1"/>
      <c r="D6" s="1"/>
      <c r="E6" s="88" t="s">
        <v>124</v>
      </c>
      <c r="F6" s="301" t="s">
        <v>234</v>
      </c>
      <c r="G6" s="302"/>
      <c r="H6" s="302"/>
      <c r="I6" s="302"/>
      <c r="J6" s="302"/>
      <c r="K6" s="302"/>
      <c r="L6" s="302"/>
      <c r="M6" s="303"/>
      <c r="N6" s="8"/>
      <c r="O6" s="8"/>
      <c r="P6" s="7"/>
      <c r="Q6" s="1"/>
    </row>
    <row r="7" spans="1:17" ht="17.25" thickBot="1" x14ac:dyDescent="0.35">
      <c r="A7" s="1"/>
      <c r="B7" s="5"/>
      <c r="C7" s="1"/>
      <c r="D7" s="1"/>
      <c r="E7" s="9"/>
      <c r="F7" s="8"/>
      <c r="G7" s="8"/>
      <c r="H7" s="8"/>
      <c r="I7" s="8"/>
      <c r="J7" s="8"/>
      <c r="K7" s="8"/>
      <c r="L7" s="8"/>
      <c r="M7" s="1"/>
      <c r="N7" s="1"/>
      <c r="O7" s="1"/>
      <c r="P7" s="7"/>
      <c r="Q7" s="1"/>
    </row>
    <row r="8" spans="1:17" ht="97.5" customHeight="1" thickBot="1" x14ac:dyDescent="0.3">
      <c r="A8" s="1"/>
      <c r="B8" s="5"/>
      <c r="C8" s="1"/>
      <c r="D8" s="1"/>
      <c r="E8" s="1"/>
      <c r="F8" s="1"/>
      <c r="G8" s="1"/>
      <c r="H8" s="1"/>
      <c r="I8" s="304" t="s">
        <v>125</v>
      </c>
      <c r="J8" s="305"/>
      <c r="K8" s="306"/>
      <c r="L8" s="1"/>
      <c r="M8" s="137">
        <f>+AVERAGE(G26,G28,G30,G32,G34)</f>
        <v>0.93571428571428572</v>
      </c>
      <c r="N8" s="10"/>
      <c r="O8" s="10"/>
      <c r="P8" s="7"/>
      <c r="Q8" s="1"/>
    </row>
    <row r="9" spans="1:17" ht="15.75" x14ac:dyDescent="0.25">
      <c r="A9" s="1"/>
      <c r="B9" s="5"/>
      <c r="C9" s="1"/>
      <c r="D9" s="1"/>
      <c r="E9" s="1"/>
      <c r="F9" s="1"/>
      <c r="G9" s="1"/>
      <c r="H9" s="1"/>
      <c r="I9" s="1"/>
      <c r="J9" s="1"/>
      <c r="K9" s="1"/>
      <c r="L9" s="1"/>
      <c r="M9" s="11"/>
      <c r="N9" s="11"/>
      <c r="O9" s="11"/>
      <c r="P9" s="7"/>
      <c r="Q9" s="1"/>
    </row>
    <row r="10" spans="1:17" x14ac:dyDescent="0.25">
      <c r="A10" s="1"/>
      <c r="B10" s="5"/>
      <c r="C10" s="1"/>
      <c r="D10" s="1"/>
      <c r="E10" s="1"/>
      <c r="F10" s="1"/>
      <c r="G10" s="1"/>
      <c r="H10" s="1"/>
      <c r="I10" s="1"/>
      <c r="J10" s="1"/>
      <c r="K10" s="1"/>
      <c r="L10" s="1"/>
      <c r="M10" s="1"/>
      <c r="N10" s="1"/>
      <c r="O10" s="1"/>
      <c r="P10" s="7"/>
      <c r="Q10" s="1"/>
    </row>
    <row r="11" spans="1:17" x14ac:dyDescent="0.25">
      <c r="A11" s="1"/>
      <c r="B11" s="5"/>
      <c r="C11" s="1"/>
      <c r="D11" s="1"/>
      <c r="E11" s="1"/>
      <c r="F11" s="1"/>
      <c r="G11" s="1"/>
      <c r="H11" s="1"/>
      <c r="I11" s="1"/>
      <c r="J11" s="1"/>
      <c r="K11" s="1"/>
      <c r="L11" s="1"/>
      <c r="M11" s="1"/>
      <c r="N11" s="1"/>
      <c r="O11" s="1"/>
      <c r="P11" s="7"/>
      <c r="Q11" s="1"/>
    </row>
    <row r="12" spans="1:17" x14ac:dyDescent="0.25">
      <c r="A12" s="1"/>
      <c r="B12" s="5"/>
      <c r="C12" s="1"/>
      <c r="D12" s="1"/>
      <c r="E12" s="1"/>
      <c r="F12" s="1"/>
      <c r="G12" s="1"/>
      <c r="H12" s="1"/>
      <c r="I12" s="1"/>
      <c r="J12" s="1"/>
      <c r="K12" s="1"/>
      <c r="L12" s="1"/>
      <c r="M12" s="1"/>
      <c r="N12" s="1"/>
      <c r="O12" s="1"/>
      <c r="P12" s="7"/>
      <c r="Q12" s="1"/>
    </row>
    <row r="13" spans="1:17" x14ac:dyDescent="0.25">
      <c r="A13" s="1"/>
      <c r="B13" s="5"/>
      <c r="C13" s="1"/>
      <c r="D13" s="1"/>
      <c r="E13" s="1"/>
      <c r="F13" s="1"/>
      <c r="G13" s="1"/>
      <c r="H13" s="1"/>
      <c r="I13" s="1"/>
      <c r="J13" s="1"/>
      <c r="K13" s="1"/>
      <c r="L13" s="1"/>
      <c r="M13" s="1"/>
      <c r="N13" s="1"/>
      <c r="O13" s="1"/>
      <c r="P13" s="7"/>
      <c r="Q13" s="1"/>
    </row>
    <row r="14" spans="1:17" x14ac:dyDescent="0.25">
      <c r="A14" s="1"/>
      <c r="B14" s="5"/>
      <c r="C14" s="1"/>
      <c r="D14" s="1"/>
      <c r="E14" s="1"/>
      <c r="F14" s="1"/>
      <c r="G14" s="1"/>
      <c r="H14" s="1"/>
      <c r="I14" s="1"/>
      <c r="J14" s="1"/>
      <c r="K14" s="1"/>
      <c r="L14" s="1"/>
      <c r="M14" s="1"/>
      <c r="N14" s="1"/>
      <c r="O14" s="1"/>
      <c r="P14" s="7"/>
      <c r="Q14" s="1"/>
    </row>
    <row r="15" spans="1:17" x14ac:dyDescent="0.25">
      <c r="A15" s="1"/>
      <c r="B15" s="5"/>
      <c r="C15" s="1"/>
      <c r="D15" s="1"/>
      <c r="E15" s="1"/>
      <c r="F15" s="1"/>
      <c r="G15" s="1"/>
      <c r="H15" s="1"/>
      <c r="I15" s="1"/>
      <c r="J15" s="1"/>
      <c r="K15" s="1"/>
      <c r="L15" s="1"/>
      <c r="M15" s="1"/>
      <c r="N15" s="1"/>
      <c r="O15" s="1"/>
      <c r="P15" s="7"/>
      <c r="Q15" s="1"/>
    </row>
    <row r="16" spans="1:17" x14ac:dyDescent="0.25">
      <c r="A16" s="1"/>
      <c r="B16" s="5"/>
      <c r="C16" s="1"/>
      <c r="D16" s="1"/>
      <c r="E16" s="1"/>
      <c r="F16" s="1"/>
      <c r="G16" s="1"/>
      <c r="H16" s="1"/>
      <c r="I16" s="1"/>
      <c r="J16" s="1"/>
      <c r="K16" s="1"/>
      <c r="L16" s="1"/>
      <c r="M16" s="1"/>
      <c r="N16" s="1"/>
      <c r="O16" s="1"/>
      <c r="P16" s="7"/>
      <c r="Q16" s="1"/>
    </row>
    <row r="17" spans="1:17" x14ac:dyDescent="0.25">
      <c r="A17" s="1"/>
      <c r="B17" s="5"/>
      <c r="C17" s="1"/>
      <c r="D17" s="1"/>
      <c r="E17" s="1"/>
      <c r="F17" s="1"/>
      <c r="G17" s="1"/>
      <c r="H17" s="1"/>
      <c r="I17" s="1"/>
      <c r="J17" s="1"/>
      <c r="K17" s="1"/>
      <c r="L17" s="1"/>
      <c r="M17" s="1"/>
      <c r="N17" s="1"/>
      <c r="O17" s="1"/>
      <c r="P17" s="7"/>
      <c r="Q17" s="1"/>
    </row>
    <row r="18" spans="1:17" ht="23.25" x14ac:dyDescent="0.25">
      <c r="A18" s="1"/>
      <c r="B18" s="5"/>
      <c r="C18" s="307" t="s">
        <v>126</v>
      </c>
      <c r="D18" s="308"/>
      <c r="E18" s="308"/>
      <c r="F18" s="308"/>
      <c r="G18" s="308"/>
      <c r="H18" s="308"/>
      <c r="I18" s="308"/>
      <c r="J18" s="308"/>
      <c r="K18" s="308"/>
      <c r="L18" s="308"/>
      <c r="M18" s="309"/>
      <c r="N18" s="12"/>
      <c r="O18" s="12"/>
      <c r="P18" s="7"/>
      <c r="Q18" s="1"/>
    </row>
    <row r="19" spans="1:17" ht="16.5" thickBot="1" x14ac:dyDescent="0.3">
      <c r="A19" s="1"/>
      <c r="B19" s="5"/>
      <c r="C19" s="13"/>
      <c r="D19" s="13"/>
      <c r="E19" s="13"/>
      <c r="F19" s="13"/>
      <c r="G19" s="13"/>
      <c r="H19" s="13"/>
      <c r="I19" s="13"/>
      <c r="J19" s="13"/>
      <c r="K19" s="13"/>
      <c r="L19" s="13"/>
      <c r="M19" s="13"/>
      <c r="N19" s="14"/>
      <c r="O19" s="14"/>
      <c r="P19" s="7"/>
      <c r="Q19" s="1"/>
    </row>
    <row r="20" spans="1:17" ht="150" customHeight="1" x14ac:dyDescent="0.25">
      <c r="A20" s="1"/>
      <c r="B20" s="5"/>
      <c r="C20" s="310" t="s">
        <v>127</v>
      </c>
      <c r="D20" s="311"/>
      <c r="E20" s="140" t="s">
        <v>75</v>
      </c>
      <c r="F20" s="312" t="s">
        <v>235</v>
      </c>
      <c r="G20" s="312"/>
      <c r="H20" s="312"/>
      <c r="I20" s="312"/>
      <c r="J20" s="312"/>
      <c r="K20" s="312"/>
      <c r="L20" s="312"/>
      <c r="M20" s="313"/>
      <c r="N20" s="14"/>
      <c r="O20" s="14"/>
      <c r="P20" s="7"/>
      <c r="Q20" s="1"/>
    </row>
    <row r="21" spans="1:17" ht="126.75" customHeight="1" x14ac:dyDescent="0.25">
      <c r="A21" s="1"/>
      <c r="B21" s="5"/>
      <c r="C21" s="294" t="s">
        <v>128</v>
      </c>
      <c r="D21" s="295"/>
      <c r="E21" s="141" t="s">
        <v>38</v>
      </c>
      <c r="F21" s="314" t="s">
        <v>219</v>
      </c>
      <c r="G21" s="314"/>
      <c r="H21" s="314"/>
      <c r="I21" s="314"/>
      <c r="J21" s="314"/>
      <c r="K21" s="314"/>
      <c r="L21" s="314"/>
      <c r="M21" s="315"/>
      <c r="N21" s="14"/>
      <c r="O21" s="14"/>
      <c r="P21" s="7"/>
      <c r="Q21" s="1"/>
    </row>
    <row r="22" spans="1:17" ht="151.5" customHeight="1" thickBot="1" x14ac:dyDescent="0.3">
      <c r="A22" s="1"/>
      <c r="B22" s="5"/>
      <c r="C22" s="296" t="s">
        <v>129</v>
      </c>
      <c r="D22" s="297"/>
      <c r="E22" s="142" t="s">
        <v>38</v>
      </c>
      <c r="F22" s="316" t="s">
        <v>238</v>
      </c>
      <c r="G22" s="317"/>
      <c r="H22" s="317"/>
      <c r="I22" s="317"/>
      <c r="J22" s="317"/>
      <c r="K22" s="317"/>
      <c r="L22" s="317"/>
      <c r="M22" s="318"/>
      <c r="N22" s="14"/>
      <c r="O22" s="14"/>
      <c r="P22" s="7"/>
      <c r="Q22" s="1"/>
    </row>
    <row r="23" spans="1:17" x14ac:dyDescent="0.25">
      <c r="A23" s="1"/>
      <c r="B23" s="5"/>
      <c r="C23" s="1"/>
      <c r="D23" s="1"/>
      <c r="E23" s="1"/>
      <c r="F23" s="1"/>
      <c r="G23" s="15"/>
      <c r="H23" s="1"/>
      <c r="I23" s="1"/>
      <c r="J23" s="1"/>
      <c r="K23" s="1"/>
      <c r="L23" s="1"/>
      <c r="M23" s="1"/>
      <c r="N23" s="1"/>
      <c r="O23" s="1"/>
      <c r="P23" s="7"/>
      <c r="Q23" s="1"/>
    </row>
    <row r="24" spans="1:17" ht="78.75" x14ac:dyDescent="0.25">
      <c r="A24" s="1"/>
      <c r="B24" s="5"/>
      <c r="C24" s="91" t="s">
        <v>130</v>
      </c>
      <c r="D24" s="92"/>
      <c r="E24" s="91" t="s">
        <v>131</v>
      </c>
      <c r="F24" s="92"/>
      <c r="G24" s="91" t="s">
        <v>132</v>
      </c>
      <c r="H24" s="92"/>
      <c r="I24" s="288" t="s">
        <v>133</v>
      </c>
      <c r="J24" s="288"/>
      <c r="K24" s="288"/>
      <c r="L24" s="288"/>
      <c r="M24" s="288"/>
      <c r="N24" s="30"/>
      <c r="O24" s="30"/>
      <c r="P24" s="7"/>
      <c r="Q24" s="16"/>
    </row>
    <row r="25" spans="1:17" ht="13.5" customHeight="1" thickBot="1" x14ac:dyDescent="0.3">
      <c r="A25" s="1"/>
      <c r="B25" s="5"/>
      <c r="C25" s="29"/>
      <c r="I25" s="292"/>
      <c r="J25" s="292"/>
      <c r="K25" s="292"/>
      <c r="L25" s="292"/>
      <c r="M25" s="292"/>
      <c r="N25" s="31"/>
      <c r="O25" s="31"/>
      <c r="P25" s="7"/>
      <c r="Q25" s="1"/>
    </row>
    <row r="26" spans="1:17" ht="197.25" customHeight="1" thickBot="1" x14ac:dyDescent="0.3">
      <c r="A26" s="1"/>
      <c r="B26" s="5"/>
      <c r="C26" s="82" t="s">
        <v>32</v>
      </c>
      <c r="D26" s="17"/>
      <c r="E26" s="138" t="str">
        <f>+IF(Hoja1!K2&gt;=0.5,"Si","No")</f>
        <v>Si</v>
      </c>
      <c r="F26" s="18"/>
      <c r="G26" s="139">
        <f>+Hoja1!K2</f>
        <v>1</v>
      </c>
      <c r="H26" s="18"/>
      <c r="I26" s="289" t="s">
        <v>236</v>
      </c>
      <c r="J26" s="290"/>
      <c r="K26" s="290"/>
      <c r="L26" s="290"/>
      <c r="M26" s="291"/>
      <c r="N26" s="32"/>
      <c r="O26" s="33"/>
      <c r="P26" s="19"/>
      <c r="Q26" s="20"/>
    </row>
    <row r="27" spans="1:17" ht="27" thickBot="1" x14ac:dyDescent="0.45">
      <c r="A27" s="1"/>
      <c r="B27" s="5"/>
      <c r="C27" s="83"/>
      <c r="E27" s="90"/>
      <c r="G27" s="21"/>
      <c r="I27" s="293"/>
      <c r="J27" s="293"/>
      <c r="K27" s="293"/>
      <c r="L27" s="293"/>
      <c r="M27" s="293"/>
      <c r="N27" s="34"/>
      <c r="O27" s="34"/>
      <c r="P27" s="7"/>
      <c r="Q27" s="1"/>
    </row>
    <row r="28" spans="1:17" ht="111.75" customHeight="1" thickBot="1" x14ac:dyDescent="0.3">
      <c r="A28" s="1"/>
      <c r="B28" s="5"/>
      <c r="C28" s="84" t="s">
        <v>134</v>
      </c>
      <c r="D28" s="17"/>
      <c r="E28" s="138" t="str">
        <f>+IF(Hoja1!K14&gt;=0.5,"Si","No")</f>
        <v>Si</v>
      </c>
      <c r="G28" s="139">
        <f>+Hoja1!K14</f>
        <v>0.95</v>
      </c>
      <c r="I28" s="285" t="s">
        <v>239</v>
      </c>
      <c r="J28" s="286"/>
      <c r="K28" s="286"/>
      <c r="L28" s="286"/>
      <c r="M28" s="287"/>
      <c r="N28" s="32"/>
      <c r="O28" s="32"/>
      <c r="P28" s="7"/>
      <c r="Q28" s="1"/>
    </row>
    <row r="29" spans="1:17" ht="27" thickBot="1" x14ac:dyDescent="0.45">
      <c r="A29" s="1"/>
      <c r="B29" s="5"/>
      <c r="C29" s="83"/>
      <c r="E29" s="90"/>
      <c r="G29" s="21"/>
      <c r="I29" s="293"/>
      <c r="J29" s="293"/>
      <c r="K29" s="293"/>
      <c r="L29" s="293"/>
      <c r="M29" s="293"/>
      <c r="N29" s="34"/>
      <c r="O29" s="34"/>
      <c r="P29" s="7"/>
      <c r="Q29" s="1"/>
    </row>
    <row r="30" spans="1:17" ht="123" customHeight="1" thickBot="1" x14ac:dyDescent="0.3">
      <c r="A30" s="1"/>
      <c r="B30" s="5"/>
      <c r="C30" s="85" t="s">
        <v>135</v>
      </c>
      <c r="D30" s="17"/>
      <c r="E30" s="138" t="str">
        <f>+IF(Hoja1!K24&gt;=0.5,"Si","No")</f>
        <v>Si</v>
      </c>
      <c r="G30" s="139">
        <f>+Hoja1!K24</f>
        <v>0.9</v>
      </c>
      <c r="I30" s="285" t="s">
        <v>240</v>
      </c>
      <c r="J30" s="286"/>
      <c r="K30" s="286"/>
      <c r="L30" s="286"/>
      <c r="M30" s="287"/>
      <c r="N30" s="32"/>
      <c r="O30" s="32"/>
      <c r="P30" s="7"/>
      <c r="Q30" s="1"/>
    </row>
    <row r="31" spans="1:17" ht="27" thickBot="1" x14ac:dyDescent="0.45">
      <c r="A31" s="1"/>
      <c r="B31" s="5"/>
      <c r="C31" s="83"/>
      <c r="E31" s="90"/>
      <c r="G31" s="21"/>
      <c r="I31" s="293"/>
      <c r="J31" s="293"/>
      <c r="K31" s="293"/>
      <c r="L31" s="293"/>
      <c r="M31" s="293"/>
      <c r="N31" s="34"/>
      <c r="O31" s="34"/>
      <c r="P31" s="7"/>
      <c r="Q31" s="1"/>
    </row>
    <row r="32" spans="1:17" ht="171" customHeight="1" thickBot="1" x14ac:dyDescent="0.3">
      <c r="A32" s="1"/>
      <c r="B32" s="5"/>
      <c r="C32" s="86" t="s">
        <v>86</v>
      </c>
      <c r="D32" s="17"/>
      <c r="E32" s="138" t="str">
        <f>+IF(Hoja1!K29&gt;=0.5,"Si","No")</f>
        <v>Si</v>
      </c>
      <c r="G32" s="139">
        <f>+Hoja1!K29</f>
        <v>0.9285714285714286</v>
      </c>
      <c r="I32" s="285" t="s">
        <v>218</v>
      </c>
      <c r="J32" s="286"/>
      <c r="K32" s="286"/>
      <c r="L32" s="286"/>
      <c r="M32" s="287"/>
      <c r="N32" s="32"/>
      <c r="O32" s="32"/>
      <c r="P32" s="7"/>
      <c r="Q32" s="1"/>
    </row>
    <row r="33" spans="1:17" ht="27" thickBot="1" x14ac:dyDescent="0.45">
      <c r="A33" s="1"/>
      <c r="B33" s="5"/>
      <c r="C33" s="83"/>
      <c r="E33" s="90"/>
      <c r="G33" s="21"/>
      <c r="I33" s="293"/>
      <c r="J33" s="293"/>
      <c r="K33" s="293"/>
      <c r="L33" s="293"/>
      <c r="M33" s="293"/>
      <c r="N33" s="34"/>
      <c r="O33" s="34"/>
      <c r="P33" s="7"/>
      <c r="Q33" s="1"/>
    </row>
    <row r="34" spans="1:17" ht="164.25" customHeight="1" thickBot="1" x14ac:dyDescent="0.3">
      <c r="A34" s="1"/>
      <c r="B34" s="5"/>
      <c r="C34" s="87" t="s">
        <v>136</v>
      </c>
      <c r="D34" s="17"/>
      <c r="E34" s="89" t="str">
        <f>+IF(Hoja1!K36&gt;=0.5,"Si","No")</f>
        <v>Si</v>
      </c>
      <c r="G34" s="139">
        <f>+Hoja1!K36</f>
        <v>0.9</v>
      </c>
      <c r="I34" s="285" t="s">
        <v>242</v>
      </c>
      <c r="J34" s="286"/>
      <c r="K34" s="286"/>
      <c r="L34" s="286"/>
      <c r="M34" s="287"/>
      <c r="N34" s="32"/>
      <c r="O34" s="32"/>
      <c r="P34" s="7"/>
      <c r="Q34" s="1"/>
    </row>
    <row r="35" spans="1:17" ht="15.75" x14ac:dyDescent="0.25">
      <c r="A35" s="1"/>
      <c r="B35" s="5"/>
      <c r="C35" s="22"/>
      <c r="D35" s="22"/>
      <c r="E35" s="14"/>
      <c r="F35" s="1"/>
      <c r="G35" s="1"/>
      <c r="H35" s="1"/>
      <c r="I35" s="1"/>
      <c r="J35" s="1"/>
      <c r="K35" s="1"/>
      <c r="L35" s="1"/>
      <c r="M35" s="23"/>
      <c r="N35" s="23"/>
      <c r="O35" s="23"/>
      <c r="P35" s="7"/>
      <c r="Q35" s="1"/>
    </row>
    <row r="36" spans="1:17" ht="15.75" x14ac:dyDescent="0.25">
      <c r="A36" s="1"/>
      <c r="B36" s="5"/>
      <c r="C36" s="24"/>
      <c r="D36" s="22"/>
      <c r="E36" s="14"/>
      <c r="F36" s="1"/>
      <c r="G36" s="1"/>
      <c r="H36" s="1"/>
      <c r="I36" s="1"/>
      <c r="J36" s="1"/>
      <c r="K36" s="1"/>
      <c r="L36" s="1"/>
      <c r="M36" s="23"/>
      <c r="N36" s="23"/>
      <c r="O36" s="23"/>
      <c r="P36" s="7"/>
      <c r="Q36" s="1"/>
    </row>
    <row r="37" spans="1:17" x14ac:dyDescent="0.25">
      <c r="A37" s="1"/>
      <c r="B37" s="5"/>
      <c r="C37" s="25"/>
      <c r="D37" s="1"/>
      <c r="E37" s="1"/>
      <c r="F37" s="1"/>
      <c r="G37" s="1"/>
      <c r="H37" s="1"/>
      <c r="I37" s="1"/>
      <c r="J37" s="1"/>
      <c r="K37" s="1"/>
      <c r="L37" s="1"/>
      <c r="M37" s="1"/>
      <c r="N37" s="1"/>
      <c r="O37" s="1"/>
      <c r="P37" s="7"/>
      <c r="Q37" s="1"/>
    </row>
    <row r="38" spans="1:17" ht="15.75" thickBot="1" x14ac:dyDescent="0.3">
      <c r="A38" s="1"/>
      <c r="B38" s="26"/>
      <c r="C38" s="27"/>
      <c r="D38" s="27"/>
      <c r="E38" s="27"/>
      <c r="F38" s="27"/>
      <c r="G38" s="27"/>
      <c r="H38" s="27"/>
      <c r="I38" s="27"/>
      <c r="J38" s="27"/>
      <c r="K38" s="27"/>
      <c r="L38" s="27"/>
      <c r="M38" s="27"/>
      <c r="N38" s="27"/>
      <c r="O38" s="27"/>
      <c r="P38" s="28"/>
      <c r="Q38" s="1"/>
    </row>
    <row r="39" spans="1:17" ht="15.75" thickTop="1" x14ac:dyDescent="0.25">
      <c r="A39" s="1"/>
      <c r="B39" s="1"/>
      <c r="C39" s="1"/>
      <c r="D39" s="1"/>
      <c r="E39" s="1"/>
      <c r="F39" s="1"/>
      <c r="G39" s="1"/>
      <c r="H39" s="1"/>
      <c r="I39" s="1"/>
      <c r="J39" s="1"/>
      <c r="K39" s="1"/>
      <c r="L39" s="1"/>
      <c r="M39" s="1"/>
      <c r="N39" s="1"/>
      <c r="O39" s="1"/>
      <c r="P39" s="1"/>
      <c r="Q39" s="1"/>
    </row>
    <row r="40" spans="1:17" x14ac:dyDescent="0.25">
      <c r="A40" s="1"/>
      <c r="B40" s="1"/>
      <c r="C40" s="1"/>
      <c r="D40" s="1"/>
      <c r="E40" s="1"/>
      <c r="F40" s="1"/>
      <c r="G40" s="1"/>
      <c r="H40" s="1"/>
      <c r="I40" s="1"/>
      <c r="J40" s="1"/>
      <c r="K40" s="1"/>
      <c r="L40" s="1"/>
      <c r="M40" s="1"/>
      <c r="N40" s="1"/>
      <c r="O40" s="1"/>
      <c r="P40" s="1"/>
      <c r="Q40" s="1"/>
    </row>
    <row r="41" spans="1:17" x14ac:dyDescent="0.25">
      <c r="A41" s="1"/>
      <c r="B41" s="1"/>
      <c r="C41" s="1"/>
      <c r="D41" s="1"/>
      <c r="E41" s="1"/>
      <c r="F41" s="1"/>
      <c r="G41" s="1"/>
      <c r="H41" s="1"/>
      <c r="I41" s="1"/>
      <c r="J41" s="1"/>
      <c r="K41" s="1"/>
      <c r="L41" s="1"/>
      <c r="M41" s="1"/>
      <c r="N41" s="1"/>
      <c r="O41" s="1"/>
      <c r="P41" s="1"/>
      <c r="Q41" s="1"/>
    </row>
  </sheetData>
  <sheetProtection algorithmName="SHA-512" hashValue="mur5Q3PEaZxn8LXLz/eSymodHMyMcb7gr8gXWBwpSU/m7uV0ZPVWkcKOdJlg0OS/SXBXX9P/iBb2vTO1mWy68A==" saltValue="abZlHLcGIMQMz4F8z7vkTw==" spinCount="100000" sheet="1" objects="1" scenarios="1" formatCells="0" formatRows="0"/>
  <mergeCells count="22">
    <mergeCell ref="C21:D21"/>
    <mergeCell ref="C22:D22"/>
    <mergeCell ref="E4:E5"/>
    <mergeCell ref="F4:M5"/>
    <mergeCell ref="F6:M6"/>
    <mergeCell ref="I8:K8"/>
    <mergeCell ref="C18:M18"/>
    <mergeCell ref="C20:D20"/>
    <mergeCell ref="F20:M20"/>
    <mergeCell ref="F21:M21"/>
    <mergeCell ref="F22:M22"/>
    <mergeCell ref="I34:M34"/>
    <mergeCell ref="I30:M30"/>
    <mergeCell ref="I32:M32"/>
    <mergeCell ref="I24:M24"/>
    <mergeCell ref="I26:M26"/>
    <mergeCell ref="I28:M28"/>
    <mergeCell ref="I25:M25"/>
    <mergeCell ref="I27:M27"/>
    <mergeCell ref="I29:M29"/>
    <mergeCell ref="I31:M31"/>
    <mergeCell ref="I33:M33"/>
  </mergeCells>
  <conditionalFormatting sqref="G26 G28 G30 G32 G34">
    <cfRule type="cellIs" priority="4" operator="between">
      <formula>0.75</formula>
      <formula>1</formula>
    </cfRule>
    <cfRule type="cellIs" dxfId="11" priority="5" operator="between">
      <formula>0.5</formula>
      <formula>0.75</formula>
    </cfRule>
    <cfRule type="cellIs" dxfId="10" priority="6" operator="between">
      <formula>0</formula>
      <formula>0.49</formula>
    </cfRule>
    <cfRule type="cellIs" dxfId="9" priority="31" operator="between">
      <formula>0.76</formula>
      <formula>1</formula>
    </cfRule>
    <cfRule type="cellIs" dxfId="8" priority="32" operator="between">
      <formula>0.51</formula>
      <formula>0.75</formula>
    </cfRule>
    <cfRule type="cellIs" dxfId="7" priority="33" operator="between">
      <formula>0.26</formula>
      <formula>0.5</formula>
    </cfRule>
  </conditionalFormatting>
  <conditionalFormatting sqref="M8">
    <cfRule type="cellIs" dxfId="5" priority="1" operator="between">
      <formula>0.75</formula>
      <formula>1</formula>
    </cfRule>
    <cfRule type="cellIs" dxfId="4" priority="2" operator="between">
      <formula>0.5</formula>
      <formula>0.75</formula>
    </cfRule>
    <cfRule type="cellIs" dxfId="3" priority="3" operator="between">
      <formula>0</formula>
      <formula>0.49</formula>
    </cfRule>
    <cfRule type="cellIs" priority="27" operator="between">
      <formula>0.76</formula>
      <formula>1</formula>
    </cfRule>
    <cfRule type="cellIs" dxfId="2" priority="28" operator="between">
      <formula>0.51</formula>
      <formula>0.75</formula>
    </cfRule>
    <cfRule type="cellIs" dxfId="1" priority="29" operator="between">
      <formula>0.26</formula>
      <formula>0.5</formula>
    </cfRule>
    <cfRule type="cellIs" dxfId="0" priority="30" operator="between">
      <formula>0</formula>
      <formula>0.25</formula>
    </cfRule>
  </conditionalFormatting>
  <dataValidations count="3">
    <dataValidation type="list" allowBlank="1" showInputMessage="1" showErrorMessage="1" sqref="E21:E22" xr:uid="{00000000-0002-0000-0300-000000000000}">
      <formula1>"Si, No"</formula1>
    </dataValidation>
    <dataValidation allowBlank="1" showInputMessage="1" showErrorMessage="1" prompt="Celda formulada, información proveniente de la pestaña de deficiencias." sqref="E24" xr:uid="{00000000-0002-0000-0300-000001000000}"/>
    <dataValidation type="list" allowBlank="1" showInputMessage="1" showErrorMessage="1" sqref="E20" xr:uid="{00000000-0002-0000-0300-000002000000}">
      <formula1>"Si,En proceso,No"</formula1>
    </dataValidation>
  </dataValidations>
  <pageMargins left="0.7" right="0.7" top="0.75" bottom="0.75" header="0.3" footer="0.3"/>
  <pageSetup orientation="portrait" horizontalDpi="300" verticalDpi="300" r:id="rId1"/>
  <drawing r:id="rId2"/>
  <extLst>
    <ext xmlns:x14="http://schemas.microsoft.com/office/spreadsheetml/2009/9/main" uri="{78C0D931-6437-407d-A8EE-F0AAD7539E65}">
      <x14:conditionalFormattings>
        <x14:conditionalFormatting xmlns:xm="http://schemas.microsoft.com/office/excel/2006/main">
          <x14:cfRule type="cellIs" priority="34" operator="between" id="{7ADAD4B9-72C7-4518-BD8A-A7D8DD349CD9}">
            <xm:f>0</xm:f>
            <xm:f>'\Users\dell\Desktop\cesar\HISTORICOS\[2020-04-22_Formato_informe_sci_parametrizado_final.xlsx]Analisis de Resultados'!#REF!</xm:f>
            <x14:dxf>
              <fill>
                <patternFill>
                  <bgColor rgb="FFFF0000"/>
                </patternFill>
              </fill>
            </x14:dxf>
          </x14:cfRule>
          <xm:sqref>G26 G28 G30 G32 G34</xm:sqref>
        </x14:conditionalFormatting>
      </x14:conditionalFormatting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K45"/>
  <sheetViews>
    <sheetView workbookViewId="0">
      <selection activeCell="F2" sqref="F2"/>
    </sheetView>
  </sheetViews>
  <sheetFormatPr baseColWidth="10" defaultColWidth="11.42578125" defaultRowHeight="15" x14ac:dyDescent="0.25"/>
  <cols>
    <col min="2" max="2" width="31" bestFit="1" customWidth="1"/>
    <col min="3" max="3" width="17.140625" customWidth="1"/>
    <col min="5" max="5" width="15.140625" customWidth="1"/>
    <col min="10" max="10" width="15.7109375" customWidth="1"/>
    <col min="11" max="11" width="12" bestFit="1" customWidth="1"/>
  </cols>
  <sheetData>
    <row r="1" spans="1:11" ht="84.75" customHeight="1" x14ac:dyDescent="0.25">
      <c r="A1" s="143" t="s">
        <v>25</v>
      </c>
      <c r="B1" s="143" t="s">
        <v>6</v>
      </c>
      <c r="C1" s="144" t="s">
        <v>8</v>
      </c>
      <c r="D1" s="145" t="s">
        <v>26</v>
      </c>
      <c r="E1" s="145" t="s">
        <v>27</v>
      </c>
      <c r="F1" s="145" t="s">
        <v>137</v>
      </c>
      <c r="G1" s="146" t="s">
        <v>138</v>
      </c>
      <c r="H1" s="146" t="s">
        <v>139</v>
      </c>
      <c r="I1" s="146" t="s">
        <v>118</v>
      </c>
      <c r="J1" s="146" t="s">
        <v>140</v>
      </c>
      <c r="K1" s="146" t="s">
        <v>141</v>
      </c>
    </row>
    <row r="2" spans="1:11" x14ac:dyDescent="0.25">
      <c r="A2" s="147" t="s">
        <v>142</v>
      </c>
      <c r="B2" s="147" t="str">
        <f>+VLOOKUP(A2,'Estado SCI'!$A$16:$C$59,3,0)</f>
        <v>AMBIENTE DE CONTROL</v>
      </c>
      <c r="C2" s="147" t="s">
        <v>33</v>
      </c>
      <c r="D2" s="147" t="s">
        <v>34</v>
      </c>
      <c r="E2" s="147" t="s">
        <v>35</v>
      </c>
      <c r="F2" s="147" t="str">
        <f>+VLOOKUP(A2,'Estado SCI'!$A$16:$I$59,9,0)</f>
        <v>Mantenimiento del control</v>
      </c>
      <c r="G2" s="147">
        <f>+VLOOKUP(A2,'Estado SCI'!$A$16:$L$59,12,0)</f>
        <v>20.123000000000001</v>
      </c>
      <c r="H2" s="147">
        <f t="shared" ref="H2:H45" si="0">+_xlfn.RANK.EQ(G2,$G$2:$G$45,1)</f>
        <v>1</v>
      </c>
      <c r="I2" s="147" t="str">
        <f>+IF(VLOOKUP(A2,'Estado SCI'!$A$16:$G$59,7,0)="","",VLOOKUP(A2,'Estado SCI'!$A$16:$G$59,7,0))</f>
        <v>Si</v>
      </c>
      <c r="J2" s="148">
        <f>+IF(I2="Si",1,IF(I2="En proceso",0.5,0))</f>
        <v>1</v>
      </c>
      <c r="K2" s="149">
        <f t="shared" ref="K2:K45" si="1">+AVERAGEIF($B$2:$B$45,B2,$J$2:$J$45)</f>
        <v>1</v>
      </c>
    </row>
    <row r="3" spans="1:11" x14ac:dyDescent="0.25">
      <c r="A3" s="147" t="s">
        <v>143</v>
      </c>
      <c r="B3" s="147" t="s">
        <v>32</v>
      </c>
      <c r="C3" s="147" t="s">
        <v>33</v>
      </c>
      <c r="D3" s="147" t="s">
        <v>36</v>
      </c>
      <c r="E3" s="147" t="s">
        <v>37</v>
      </c>
      <c r="F3" s="147" t="str">
        <f>+VLOOKUP(A3,'Estado SCI'!$A$16:$I$59,9,0)</f>
        <v>Mantenimiento del control</v>
      </c>
      <c r="G3" s="147">
        <f>+VLOOKUP(A3,'Estado SCI'!$A$16:$L$59,12,0)</f>
        <v>20.1234</v>
      </c>
      <c r="H3" s="147">
        <f t="shared" si="0"/>
        <v>2</v>
      </c>
      <c r="I3" s="147" t="str">
        <f>+IF(VLOOKUP(A3,'Estado SCI'!$A$16:$G$59,7,0)="","",VLOOKUP(A3,'Estado SCI'!$A$16:$G$59,7,0))</f>
        <v>Si</v>
      </c>
      <c r="J3" s="148">
        <f t="shared" ref="J3:J45" si="2">+IF(I3="Si",1,IF(I3="En proceso",0.5,0))</f>
        <v>1</v>
      </c>
      <c r="K3" s="149">
        <f t="shared" si="1"/>
        <v>1</v>
      </c>
    </row>
    <row r="4" spans="1:11" x14ac:dyDescent="0.25">
      <c r="A4" s="147" t="s">
        <v>144</v>
      </c>
      <c r="B4" s="147" t="s">
        <v>32</v>
      </c>
      <c r="C4" s="147" t="s">
        <v>33</v>
      </c>
      <c r="D4" s="147" t="s">
        <v>39</v>
      </c>
      <c r="E4" s="147" t="s">
        <v>40</v>
      </c>
      <c r="F4" s="147" t="str">
        <f>+VLOOKUP(A4,'Estado SCI'!$A$16:$I$59,9,0)</f>
        <v>Mantenimiento del control</v>
      </c>
      <c r="G4" s="147">
        <f>+VLOOKUP(A4,'Estado SCI'!$A$16:$L$59,12,0)</f>
        <v>20.123449999999998</v>
      </c>
      <c r="H4" s="147">
        <f t="shared" si="0"/>
        <v>3</v>
      </c>
      <c r="I4" s="147" t="str">
        <f>+IF(VLOOKUP(A4,'Estado SCI'!$A$16:$G$59,7,0)="","",VLOOKUP(A4,'Estado SCI'!$A$16:$G$59,7,0))</f>
        <v>Si</v>
      </c>
      <c r="J4" s="148">
        <f t="shared" si="2"/>
        <v>1</v>
      </c>
      <c r="K4" s="149">
        <f t="shared" si="1"/>
        <v>1</v>
      </c>
    </row>
    <row r="5" spans="1:11" x14ac:dyDescent="0.25">
      <c r="A5" s="147" t="s">
        <v>145</v>
      </c>
      <c r="B5" s="147" t="s">
        <v>32</v>
      </c>
      <c r="C5" s="147" t="s">
        <v>33</v>
      </c>
      <c r="D5" s="147" t="s">
        <v>41</v>
      </c>
      <c r="E5" s="147" t="s">
        <v>42</v>
      </c>
      <c r="F5" s="147" t="str">
        <f>+VLOOKUP(A5,'Estado SCI'!$A$16:$I$59,9,0)</f>
        <v>Mantenimiento del control</v>
      </c>
      <c r="G5" s="147">
        <f>+VLOOKUP(A5,'Estado SCI'!$A$16:$L$59,12,0)</f>
        <v>20.123456000000001</v>
      </c>
      <c r="H5" s="147">
        <f t="shared" si="0"/>
        <v>4</v>
      </c>
      <c r="I5" s="147" t="str">
        <f>+IF(VLOOKUP(A5,'Estado SCI'!$A$16:$G$59,7,0)="","",VLOOKUP(A5,'Estado SCI'!$A$16:$G$59,7,0))</f>
        <v>Si</v>
      </c>
      <c r="J5" s="148">
        <f t="shared" si="2"/>
        <v>1</v>
      </c>
      <c r="K5" s="149">
        <f t="shared" si="1"/>
        <v>1</v>
      </c>
    </row>
    <row r="6" spans="1:11" x14ac:dyDescent="0.25">
      <c r="A6" s="147" t="s">
        <v>146</v>
      </c>
      <c r="B6" s="147" t="s">
        <v>32</v>
      </c>
      <c r="C6" s="147" t="s">
        <v>33</v>
      </c>
      <c r="D6" s="147" t="s">
        <v>43</v>
      </c>
      <c r="E6" s="147" t="s">
        <v>44</v>
      </c>
      <c r="F6" s="147" t="str">
        <f>+VLOOKUP(A6,'Estado SCI'!$A$16:$I$59,9,0)</f>
        <v>Mantenimiento del control</v>
      </c>
      <c r="G6" s="147">
        <f>+VLOOKUP(A6,'Estado SCI'!$A$16:$L$59,12,0)</f>
        <v>20.123456780000001</v>
      </c>
      <c r="H6" s="147">
        <f t="shared" si="0"/>
        <v>5</v>
      </c>
      <c r="I6" s="147" t="str">
        <f>+IF(VLOOKUP(A6,'Estado SCI'!$A$16:$G$59,7,0)="","",VLOOKUP(A6,'Estado SCI'!$A$16:$G$59,7,0))</f>
        <v>Si</v>
      </c>
      <c r="J6" s="148">
        <f t="shared" si="2"/>
        <v>1</v>
      </c>
      <c r="K6" s="149">
        <f t="shared" si="1"/>
        <v>1</v>
      </c>
    </row>
    <row r="7" spans="1:11" x14ac:dyDescent="0.25">
      <c r="A7" s="147" t="s">
        <v>147</v>
      </c>
      <c r="B7" s="147" t="s">
        <v>32</v>
      </c>
      <c r="C7" s="147" t="s">
        <v>33</v>
      </c>
      <c r="D7" s="147" t="s">
        <v>45</v>
      </c>
      <c r="E7" s="147" t="s">
        <v>46</v>
      </c>
      <c r="F7" s="147" t="str">
        <f>+VLOOKUP(A7,'Estado SCI'!$A$16:$I$59,9,0)</f>
        <v>Mantenimiento del control</v>
      </c>
      <c r="G7" s="147">
        <f>+VLOOKUP(A7,'Estado SCI'!$A$16:$L$59,12,0)</f>
        <v>20.123456788999999</v>
      </c>
      <c r="H7" s="147">
        <f t="shared" si="0"/>
        <v>6</v>
      </c>
      <c r="I7" s="147" t="str">
        <f>+IF(VLOOKUP(A7,'Estado SCI'!$A$16:$G$59,7,0)="","",VLOOKUP(A7,'Estado SCI'!$A$16:$G$59,7,0))</f>
        <v>Si</v>
      </c>
      <c r="J7" s="148">
        <f t="shared" si="2"/>
        <v>1</v>
      </c>
      <c r="K7" s="149">
        <f t="shared" si="1"/>
        <v>1</v>
      </c>
    </row>
    <row r="8" spans="1:11" x14ac:dyDescent="0.25">
      <c r="A8" s="147" t="s">
        <v>148</v>
      </c>
      <c r="B8" s="147" t="s">
        <v>32</v>
      </c>
      <c r="C8" s="147" t="s">
        <v>33</v>
      </c>
      <c r="D8" s="147" t="s">
        <v>47</v>
      </c>
      <c r="E8" s="147" t="s">
        <v>48</v>
      </c>
      <c r="F8" s="147" t="str">
        <f>+VLOOKUP(A8,'Estado SCI'!$A$16:$I$59,9,0)</f>
        <v>Mantenimiento del control</v>
      </c>
      <c r="G8" s="147">
        <f>+VLOOKUP(A8,'Estado SCI'!$A$16:$L$59,12,0)</f>
        <v>20.1234567891</v>
      </c>
      <c r="H8" s="147">
        <f t="shared" si="0"/>
        <v>7</v>
      </c>
      <c r="I8" s="147" t="str">
        <f>+IF(VLOOKUP(A8,'Estado SCI'!$A$16:$G$59,7,0)="","",VLOOKUP(A8,'Estado SCI'!$A$16:$G$59,7,0))</f>
        <v>Si</v>
      </c>
      <c r="J8" s="148">
        <f t="shared" si="2"/>
        <v>1</v>
      </c>
      <c r="K8" s="149">
        <f t="shared" si="1"/>
        <v>1</v>
      </c>
    </row>
    <row r="9" spans="1:11" x14ac:dyDescent="0.25">
      <c r="A9" s="147" t="s">
        <v>149</v>
      </c>
      <c r="B9" s="147" t="s">
        <v>32</v>
      </c>
      <c r="C9" s="147" t="s">
        <v>33</v>
      </c>
      <c r="D9" s="147" t="s">
        <v>49</v>
      </c>
      <c r="E9" s="147" t="s">
        <v>50</v>
      </c>
      <c r="F9" s="147" t="str">
        <f>+VLOOKUP(A9,'Estado SCI'!$A$16:$I$59,9,0)</f>
        <v>Mantenimiento del control</v>
      </c>
      <c r="G9" s="147">
        <f>+VLOOKUP(A9,'Estado SCI'!$A$16:$L$59,12,0)</f>
        <v>20.123456789119999</v>
      </c>
      <c r="H9" s="147">
        <f t="shared" si="0"/>
        <v>8</v>
      </c>
      <c r="I9" s="147" t="str">
        <f>+IF(VLOOKUP(A9,'Estado SCI'!$A$16:$G$59,7,0)="","",VLOOKUP(A9,'Estado SCI'!$A$16:$G$59,7,0))</f>
        <v>Si</v>
      </c>
      <c r="J9" s="148">
        <f t="shared" si="2"/>
        <v>1</v>
      </c>
      <c r="K9" s="149">
        <f t="shared" si="1"/>
        <v>1</v>
      </c>
    </row>
    <row r="10" spans="1:11" x14ac:dyDescent="0.25">
      <c r="A10" s="147" t="s">
        <v>150</v>
      </c>
      <c r="B10" s="147" t="s">
        <v>32</v>
      </c>
      <c r="C10" s="147" t="s">
        <v>33</v>
      </c>
      <c r="D10" s="147" t="s">
        <v>51</v>
      </c>
      <c r="E10" s="147" t="s">
        <v>52</v>
      </c>
      <c r="F10" s="147" t="str">
        <f>+VLOOKUP(A10,'Estado SCI'!$A$16:$I$59,9,0)</f>
        <v>Mantenimiento del control</v>
      </c>
      <c r="G10" s="147">
        <f>+VLOOKUP(A10,'Estado SCI'!$A$16:$L$59,12,0)</f>
        <v>20.123456789123001</v>
      </c>
      <c r="H10" s="147">
        <f t="shared" si="0"/>
        <v>9</v>
      </c>
      <c r="I10" s="147" t="str">
        <f>+IF(VLOOKUP(A10,'Estado SCI'!$A$16:$G$59,7,0)="","",VLOOKUP(A10,'Estado SCI'!$A$16:$G$59,7,0))</f>
        <v>Si</v>
      </c>
      <c r="J10" s="148">
        <f t="shared" si="2"/>
        <v>1</v>
      </c>
      <c r="K10" s="149">
        <f t="shared" si="1"/>
        <v>1</v>
      </c>
    </row>
    <row r="11" spans="1:11" x14ac:dyDescent="0.25">
      <c r="A11" s="147" t="s">
        <v>151</v>
      </c>
      <c r="B11" s="147" t="s">
        <v>32</v>
      </c>
      <c r="C11" s="147" t="s">
        <v>33</v>
      </c>
      <c r="D11" s="147" t="s">
        <v>53</v>
      </c>
      <c r="E11" s="147" t="s">
        <v>54</v>
      </c>
      <c r="F11" s="147" t="str">
        <f>+VLOOKUP(A11,'Estado SCI'!$A$16:$I$59,9,0)</f>
        <v>Mantenimiento del control</v>
      </c>
      <c r="G11" s="147">
        <f>+VLOOKUP(A11,'Estado SCI'!$A$16:$L$59,12,0)</f>
        <v>20.123456789123399</v>
      </c>
      <c r="H11" s="147">
        <f t="shared" si="0"/>
        <v>10</v>
      </c>
      <c r="I11" s="147" t="str">
        <f>+IF(VLOOKUP(A11,'Estado SCI'!$A$16:$G$59,7,0)="","",VLOOKUP(A11,'Estado SCI'!$A$16:$G$59,7,0))</f>
        <v>Si</v>
      </c>
      <c r="J11" s="148">
        <f t="shared" si="2"/>
        <v>1</v>
      </c>
      <c r="K11" s="149">
        <f t="shared" si="1"/>
        <v>1</v>
      </c>
    </row>
    <row r="12" spans="1:11" x14ac:dyDescent="0.25">
      <c r="A12" s="147" t="s">
        <v>152</v>
      </c>
      <c r="B12" s="147" t="s">
        <v>32</v>
      </c>
      <c r="C12" s="147" t="s">
        <v>33</v>
      </c>
      <c r="D12" s="147" t="s">
        <v>55</v>
      </c>
      <c r="E12" s="147" t="s">
        <v>56</v>
      </c>
      <c r="F12" s="147" t="str">
        <f>+VLOOKUP(A12,'Estado SCI'!$A$16:$I$59,9,0)</f>
        <v>Mantenimiento del control</v>
      </c>
      <c r="G12" s="147">
        <f>+VLOOKUP(A12,'Estado SCI'!$A$16:$L$59,12,0)</f>
        <v>20.123456789123448</v>
      </c>
      <c r="H12" s="147">
        <f t="shared" si="0"/>
        <v>11</v>
      </c>
      <c r="I12" s="147" t="str">
        <f>+IF(VLOOKUP(A12,'Estado SCI'!$A$16:$G$59,7,0)="","",VLOOKUP(A12,'Estado SCI'!$A$16:$G$59,7,0))</f>
        <v>Si</v>
      </c>
      <c r="J12" s="148">
        <f t="shared" si="2"/>
        <v>1</v>
      </c>
      <c r="K12" s="149">
        <f t="shared" si="1"/>
        <v>1</v>
      </c>
    </row>
    <row r="13" spans="1:11" x14ac:dyDescent="0.25">
      <c r="A13" s="147" t="s">
        <v>153</v>
      </c>
      <c r="B13" s="147" t="s">
        <v>32</v>
      </c>
      <c r="C13" s="147" t="s">
        <v>33</v>
      </c>
      <c r="D13" s="147" t="s">
        <v>57</v>
      </c>
      <c r="E13" s="147" t="s">
        <v>58</v>
      </c>
      <c r="F13" s="147" t="str">
        <f>+VLOOKUP(A13,'Estado SCI'!$A$16:$I$59,9,0)</f>
        <v>Mantenimiento del control</v>
      </c>
      <c r="G13" s="147">
        <f>+VLOOKUP(A13,'Estado SCI'!$A$16:$L$59,12,0)</f>
        <v>20.123456789123455</v>
      </c>
      <c r="H13" s="147">
        <f t="shared" si="0"/>
        <v>12</v>
      </c>
      <c r="I13" s="147" t="str">
        <f>+IF(VLOOKUP(A13,'Estado SCI'!$A$16:$G$59,7,0)="","",VLOOKUP(A13,'Estado SCI'!$A$16:$G$59,7,0))</f>
        <v>Si</v>
      </c>
      <c r="J13" s="148">
        <f t="shared" si="2"/>
        <v>1</v>
      </c>
      <c r="K13" s="149">
        <f t="shared" si="1"/>
        <v>1</v>
      </c>
    </row>
    <row r="14" spans="1:11" ht="15" customHeight="1" x14ac:dyDescent="0.25">
      <c r="A14" s="147" t="s">
        <v>154</v>
      </c>
      <c r="B14" s="147" t="str">
        <f>+VLOOKUP(A14,'Estado SCI'!$A$16:$C$59,3,0)</f>
        <v>EVALUACION DEL RIESGO</v>
      </c>
      <c r="C14" s="147" t="s">
        <v>61</v>
      </c>
      <c r="D14" s="147" t="s">
        <v>34</v>
      </c>
      <c r="E14" s="147" t="s">
        <v>155</v>
      </c>
      <c r="F14" s="147" t="str">
        <f>+VLOOKUP(A14,'Estado SCI'!$A$16:$I$59,9,0)</f>
        <v>Mantenimiento del control</v>
      </c>
      <c r="G14" s="147">
        <f>+VLOOKUP(A14,'Estado SCI'!$A$16:$L$59,12,0)</f>
        <v>40.229999999999997</v>
      </c>
      <c r="H14" s="147">
        <f t="shared" si="0"/>
        <v>14</v>
      </c>
      <c r="I14" s="147" t="str">
        <f>+IF(VLOOKUP(A14,'Estado SCI'!$A$16:$G$59,7,0)="","",VLOOKUP(A14,'Estado SCI'!$A$16:$G$59,7,0))</f>
        <v>Si</v>
      </c>
      <c r="J14" s="148">
        <f t="shared" si="2"/>
        <v>1</v>
      </c>
      <c r="K14" s="149">
        <f t="shared" si="1"/>
        <v>0.95</v>
      </c>
    </row>
    <row r="15" spans="1:11" ht="15" customHeight="1" x14ac:dyDescent="0.25">
      <c r="A15" s="147" t="s">
        <v>156</v>
      </c>
      <c r="B15" s="147" t="s">
        <v>60</v>
      </c>
      <c r="C15" s="147" t="s">
        <v>61</v>
      </c>
      <c r="D15" s="147" t="s">
        <v>36</v>
      </c>
      <c r="E15" s="147" t="s">
        <v>157</v>
      </c>
      <c r="F15" s="147" t="str">
        <f>+VLOOKUP(A15,'Estado SCI'!$A$16:$I$59,9,0)</f>
        <v>Mantenimiento del control</v>
      </c>
      <c r="G15" s="147">
        <f>+VLOOKUP(A15,'Estado SCI'!$A$16:$L$59,12,0)</f>
        <v>40.234000000000002</v>
      </c>
      <c r="H15" s="147">
        <f t="shared" si="0"/>
        <v>15</v>
      </c>
      <c r="I15" s="147" t="str">
        <f>+IF(VLOOKUP(A15,'Estado SCI'!$A$16:$G$59,7,0)="","",VLOOKUP(A15,'Estado SCI'!$A$16:$G$59,7,0))</f>
        <v>Si</v>
      </c>
      <c r="J15" s="148">
        <f t="shared" si="2"/>
        <v>1</v>
      </c>
      <c r="K15" s="149">
        <f t="shared" si="1"/>
        <v>0.95</v>
      </c>
    </row>
    <row r="16" spans="1:11" ht="15" customHeight="1" x14ac:dyDescent="0.25">
      <c r="A16" s="147" t="s">
        <v>158</v>
      </c>
      <c r="B16" s="147" t="s">
        <v>60</v>
      </c>
      <c r="C16" s="147" t="s">
        <v>61</v>
      </c>
      <c r="D16" s="147" t="s">
        <v>39</v>
      </c>
      <c r="E16" s="147" t="s">
        <v>159</v>
      </c>
      <c r="F16" s="147" t="str">
        <f>+VLOOKUP(A16,'Estado SCI'!$A$16:$I$59,9,0)</f>
        <v>Mantenimiento del control</v>
      </c>
      <c r="G16" s="147">
        <f>+VLOOKUP(A16,'Estado SCI'!$A$16:$L$59,12,0)</f>
        <v>40.234499999999997</v>
      </c>
      <c r="H16" s="147">
        <f t="shared" si="0"/>
        <v>16</v>
      </c>
      <c r="I16" s="147" t="str">
        <f>+IF(VLOOKUP(A16,'Estado SCI'!$A$16:$G$59,7,0)="","",VLOOKUP(A16,'Estado SCI'!$A$16:$G$59,7,0))</f>
        <v>Si</v>
      </c>
      <c r="J16" s="148">
        <f t="shared" si="2"/>
        <v>1</v>
      </c>
      <c r="K16" s="149">
        <f t="shared" si="1"/>
        <v>0.95</v>
      </c>
    </row>
    <row r="17" spans="1:11" ht="15.75" customHeight="1" x14ac:dyDescent="0.25">
      <c r="A17" s="147" t="s">
        <v>160</v>
      </c>
      <c r="B17" s="147" t="s">
        <v>60</v>
      </c>
      <c r="C17" s="147" t="s">
        <v>61</v>
      </c>
      <c r="D17" s="147" t="s">
        <v>41</v>
      </c>
      <c r="E17" s="147" t="s">
        <v>65</v>
      </c>
      <c r="F17" s="147" t="str">
        <f>+VLOOKUP(A17,'Estado SCI'!$A$16:$I$59,9,0)</f>
        <v>Mantenimiento del control</v>
      </c>
      <c r="G17" s="147">
        <f>+VLOOKUP(A17,'Estado SCI'!$A$16:$L$59,12,0)</f>
        <v>40.234560000000002</v>
      </c>
      <c r="H17" s="147">
        <f t="shared" si="0"/>
        <v>17</v>
      </c>
      <c r="I17" s="147" t="str">
        <f>+IF(VLOOKUP(A17,'Estado SCI'!$A$16:$G$59,7,0)="","",VLOOKUP(A17,'Estado SCI'!$A$16:$G$59,7,0))</f>
        <v>Si</v>
      </c>
      <c r="J17" s="148">
        <f t="shared" si="2"/>
        <v>1</v>
      </c>
      <c r="K17" s="149">
        <f t="shared" si="1"/>
        <v>0.95</v>
      </c>
    </row>
    <row r="18" spans="1:11" ht="15" customHeight="1" x14ac:dyDescent="0.25">
      <c r="A18" s="147" t="s">
        <v>161</v>
      </c>
      <c r="B18" s="147" t="s">
        <v>60</v>
      </c>
      <c r="C18" s="147" t="s">
        <v>79</v>
      </c>
      <c r="D18" s="147" t="s">
        <v>34</v>
      </c>
      <c r="E18" s="147" t="s">
        <v>68</v>
      </c>
      <c r="F18" s="147" t="str">
        <f>+VLOOKUP(A18,'Estado SCI'!$A$16:$I$59,9,0)</f>
        <v>Mantenimiento del control</v>
      </c>
      <c r="G18" s="147">
        <f>+VLOOKUP(A18,'Estado SCI'!$A$16:$L$59,12,0)</f>
        <v>40.234566999999998</v>
      </c>
      <c r="H18" s="147">
        <f t="shared" si="0"/>
        <v>18</v>
      </c>
      <c r="I18" s="147" t="str">
        <f>+IF(VLOOKUP(A18,'Estado SCI'!$A$16:$G$59,7,0)="","",VLOOKUP(A18,'Estado SCI'!$A$16:$G$59,7,0))</f>
        <v>Si</v>
      </c>
      <c r="J18" s="148">
        <f t="shared" si="2"/>
        <v>1</v>
      </c>
      <c r="K18" s="149">
        <f t="shared" si="1"/>
        <v>0.95</v>
      </c>
    </row>
    <row r="19" spans="1:11" ht="15" customHeight="1" x14ac:dyDescent="0.25">
      <c r="A19" s="147" t="s">
        <v>162</v>
      </c>
      <c r="B19" s="147" t="s">
        <v>60</v>
      </c>
      <c r="C19" s="147" t="s">
        <v>79</v>
      </c>
      <c r="D19" s="147" t="s">
        <v>36</v>
      </c>
      <c r="E19" s="147" t="s">
        <v>69</v>
      </c>
      <c r="F19" s="147" t="str">
        <f>+VLOOKUP(A19,'Estado SCI'!$A$16:$I$59,9,0)</f>
        <v>Mantenimiento del control</v>
      </c>
      <c r="G19" s="147">
        <f>+VLOOKUP(A19,'Estado SCI'!$A$16:$L$59,12,0)</f>
        <v>40.234567800000001</v>
      </c>
      <c r="H19" s="147">
        <f t="shared" si="0"/>
        <v>19</v>
      </c>
      <c r="I19" s="147" t="str">
        <f>+IF(VLOOKUP(A19,'Estado SCI'!$A$16:$G$59,7,0)="","",VLOOKUP(A19,'Estado SCI'!$A$16:$G$59,7,0))</f>
        <v>Si</v>
      </c>
      <c r="J19" s="148">
        <f t="shared" si="2"/>
        <v>1</v>
      </c>
      <c r="K19" s="149">
        <f t="shared" si="1"/>
        <v>0.95</v>
      </c>
    </row>
    <row r="20" spans="1:11" ht="15" customHeight="1" x14ac:dyDescent="0.25">
      <c r="A20" s="147" t="s">
        <v>163</v>
      </c>
      <c r="B20" s="147" t="s">
        <v>60</v>
      </c>
      <c r="C20" s="147" t="s">
        <v>79</v>
      </c>
      <c r="D20" s="147" t="s">
        <v>39</v>
      </c>
      <c r="E20" s="147" t="s">
        <v>70</v>
      </c>
      <c r="F20" s="147" t="str">
        <f>+VLOOKUP(A20,'Estado SCI'!$A$16:$I$59,9,0)</f>
        <v>Mantenimiento del control</v>
      </c>
      <c r="G20" s="147">
        <f>+VLOOKUP(A20,'Estado SCI'!$A$16:$L$59,12,0)</f>
        <v>40.234567890000001</v>
      </c>
      <c r="H20" s="147">
        <f t="shared" si="0"/>
        <v>20</v>
      </c>
      <c r="I20" s="147" t="str">
        <f>+IF(VLOOKUP(A20,'Estado SCI'!$A$16:$G$59,7,0)="","",VLOOKUP(A20,'Estado SCI'!$A$16:$G$59,7,0))</f>
        <v>Si</v>
      </c>
      <c r="J20" s="148">
        <f t="shared" si="2"/>
        <v>1</v>
      </c>
      <c r="K20" s="149">
        <f t="shared" si="1"/>
        <v>0.95</v>
      </c>
    </row>
    <row r="21" spans="1:11" ht="15.75" customHeight="1" x14ac:dyDescent="0.25">
      <c r="A21" s="147" t="s">
        <v>164</v>
      </c>
      <c r="B21" s="147" t="s">
        <v>60</v>
      </c>
      <c r="C21" s="147" t="s">
        <v>79</v>
      </c>
      <c r="D21" s="147" t="s">
        <v>34</v>
      </c>
      <c r="E21" s="147" t="s">
        <v>73</v>
      </c>
      <c r="F21" s="147" t="str">
        <f>+VLOOKUP(A21,'Estado SCI'!$A$16:$I$59,9,0)</f>
        <v>Mantenimiento del control</v>
      </c>
      <c r="G21" s="147">
        <f>+VLOOKUP(A21,'Estado SCI'!$A$16:$L$59,12,0)</f>
        <v>40.234567891200001</v>
      </c>
      <c r="H21" s="147">
        <f t="shared" si="0"/>
        <v>21</v>
      </c>
      <c r="I21" s="147" t="str">
        <f>+IF(VLOOKUP(A21,'Estado SCI'!$A$16:$G$59,7,0)="","",VLOOKUP(A21,'Estado SCI'!$A$16:$G$59,7,0))</f>
        <v>Si</v>
      </c>
      <c r="J21" s="148">
        <f t="shared" si="2"/>
        <v>1</v>
      </c>
      <c r="K21" s="149">
        <f t="shared" si="1"/>
        <v>0.95</v>
      </c>
    </row>
    <row r="22" spans="1:11" ht="15" customHeight="1" x14ac:dyDescent="0.25">
      <c r="A22" s="147" t="s">
        <v>165</v>
      </c>
      <c r="B22" s="147" t="s">
        <v>60</v>
      </c>
      <c r="C22" s="147" t="s">
        <v>87</v>
      </c>
      <c r="D22" s="147" t="s">
        <v>36</v>
      </c>
      <c r="E22" s="147" t="s">
        <v>74</v>
      </c>
      <c r="F22" s="147" t="str">
        <f>+VLOOKUP(A22,'Estado SCI'!$A$16:$I$59,9,0)</f>
        <v>Mantenimiento del control</v>
      </c>
      <c r="G22" s="147">
        <f>+VLOOKUP(A22,'Estado SCI'!$A$16:$L$59,12,0)</f>
        <v>40.23456789123</v>
      </c>
      <c r="H22" s="147">
        <f t="shared" si="0"/>
        <v>22</v>
      </c>
      <c r="I22" s="147" t="str">
        <f>+IF(VLOOKUP(A22,'Estado SCI'!$A$16:$G$59,7,0)="","",VLOOKUP(A22,'Estado SCI'!$A$16:$G$59,7,0))</f>
        <v>Si</v>
      </c>
      <c r="J22" s="148">
        <f t="shared" si="2"/>
        <v>1</v>
      </c>
      <c r="K22" s="149">
        <f t="shared" si="1"/>
        <v>0.95</v>
      </c>
    </row>
    <row r="23" spans="1:11" ht="15" customHeight="1" x14ac:dyDescent="0.25">
      <c r="A23" s="147" t="s">
        <v>166</v>
      </c>
      <c r="B23" s="147" t="s">
        <v>60</v>
      </c>
      <c r="C23" s="147" t="s">
        <v>87</v>
      </c>
      <c r="D23" s="147" t="s">
        <v>39</v>
      </c>
      <c r="E23" s="147" t="s">
        <v>76</v>
      </c>
      <c r="F23" s="147" t="str">
        <f>+VLOOKUP(A23,'Estado SCI'!$A$16:$I$59,9,0)</f>
        <v>Oportunidad de mejora</v>
      </c>
      <c r="G23" s="147">
        <f>+VLOOKUP(A23,'Estado SCI'!$A$16:$L$59,12,0)</f>
        <v>30.234567891234001</v>
      </c>
      <c r="H23" s="147">
        <f t="shared" si="0"/>
        <v>13</v>
      </c>
      <c r="I23" s="147" t="str">
        <f>+IF(VLOOKUP(A23,'Estado SCI'!$A$16:$G$59,7,0)="","",VLOOKUP(A23,'Estado SCI'!$A$16:$G$59,7,0))</f>
        <v>En proceso</v>
      </c>
      <c r="J23" s="148">
        <f t="shared" si="2"/>
        <v>0.5</v>
      </c>
      <c r="K23" s="149">
        <f t="shared" si="1"/>
        <v>0.95</v>
      </c>
    </row>
    <row r="24" spans="1:11" ht="15" customHeight="1" x14ac:dyDescent="0.25">
      <c r="A24" s="147" t="s">
        <v>167</v>
      </c>
      <c r="B24" s="147" t="str">
        <f>+VLOOKUP(A24,'Estado SCI'!$A$16:$C$59,3,0)</f>
        <v>ACTIVIDADES DE CONTROL</v>
      </c>
      <c r="C24" s="147" t="s">
        <v>87</v>
      </c>
      <c r="D24" s="147" t="s">
        <v>34</v>
      </c>
      <c r="E24" s="147" t="s">
        <v>80</v>
      </c>
      <c r="F24" s="147" t="str">
        <f>+VLOOKUP(A24,'Estado SCI'!$A$16:$I$59,9,0)</f>
        <v>Mantenimiento del control</v>
      </c>
      <c r="G24" s="147">
        <f>+VLOOKUP(A24,'Estado SCI'!$A$16:$L$59,12,0)</f>
        <v>60.31</v>
      </c>
      <c r="H24" s="147">
        <f t="shared" si="0"/>
        <v>24</v>
      </c>
      <c r="I24" s="147" t="str">
        <f>+IF(VLOOKUP(A24,'Estado SCI'!$A$16:$G$59,7,0)="","",VLOOKUP(A24,'Estado SCI'!$A$16:$G$59,7,0))</f>
        <v>Si</v>
      </c>
      <c r="J24" s="148">
        <f t="shared" si="2"/>
        <v>1</v>
      </c>
      <c r="K24" s="149">
        <f t="shared" si="1"/>
        <v>0.9</v>
      </c>
    </row>
    <row r="25" spans="1:11" ht="15" customHeight="1" x14ac:dyDescent="0.25">
      <c r="A25" s="147" t="s">
        <v>168</v>
      </c>
      <c r="B25" s="147" t="s">
        <v>78</v>
      </c>
      <c r="C25" s="147" t="s">
        <v>87</v>
      </c>
      <c r="D25" s="147" t="s">
        <v>36</v>
      </c>
      <c r="E25" s="147" t="s">
        <v>81</v>
      </c>
      <c r="F25" s="147" t="str">
        <f>+VLOOKUP(A25,'Estado SCI'!$A$16:$I$59,9,0)</f>
        <v>Mantenimiento del control</v>
      </c>
      <c r="G25" s="147">
        <f>+VLOOKUP(A25,'Estado SCI'!$A$16:$L$59,12,0)</f>
        <v>60.323</v>
      </c>
      <c r="H25" s="147">
        <f t="shared" si="0"/>
        <v>25</v>
      </c>
      <c r="I25" s="147" t="str">
        <f>+IF(VLOOKUP(A25,'Estado SCI'!$A$16:$G$59,7,0)="","",VLOOKUP(A25,'Estado SCI'!$A$16:$G$59,7,0))</f>
        <v>Si</v>
      </c>
      <c r="J25" s="148">
        <f t="shared" si="2"/>
        <v>1</v>
      </c>
      <c r="K25" s="149">
        <f t="shared" si="1"/>
        <v>0.9</v>
      </c>
    </row>
    <row r="26" spans="1:11" ht="15" customHeight="1" x14ac:dyDescent="0.25">
      <c r="A26" s="147" t="s">
        <v>169</v>
      </c>
      <c r="B26" s="147" t="s">
        <v>78</v>
      </c>
      <c r="C26" s="147" t="s">
        <v>87</v>
      </c>
      <c r="D26" s="147" t="s">
        <v>39</v>
      </c>
      <c r="E26" s="147" t="s">
        <v>82</v>
      </c>
      <c r="F26" s="147" t="str">
        <f>+VLOOKUP(A26,'Estado SCI'!$A$16:$I$59,9,0)</f>
        <v>Oportunidad de mejora</v>
      </c>
      <c r="G26" s="147">
        <f>+VLOOKUP(A26,'Estado SCI'!$A$16:$L$59,12,0)</f>
        <v>50.323999999999998</v>
      </c>
      <c r="H26" s="147">
        <f t="shared" si="0"/>
        <v>23</v>
      </c>
      <c r="I26" s="147" t="str">
        <f>+IF(VLOOKUP(A26,'Estado SCI'!$A$16:$G$59,7,0)="","",VLOOKUP(A26,'Estado SCI'!$A$16:$G$59,7,0))</f>
        <v>En proceso</v>
      </c>
      <c r="J26" s="148">
        <f t="shared" si="2"/>
        <v>0.5</v>
      </c>
      <c r="K26" s="149">
        <f t="shared" si="1"/>
        <v>0.9</v>
      </c>
    </row>
    <row r="27" spans="1:11" ht="15.75" customHeight="1" x14ac:dyDescent="0.25">
      <c r="A27" s="147" t="s">
        <v>170</v>
      </c>
      <c r="B27" s="147" t="s">
        <v>78</v>
      </c>
      <c r="C27" s="147" t="s">
        <v>87</v>
      </c>
      <c r="D27" s="147" t="s">
        <v>41</v>
      </c>
      <c r="E27" s="147" t="s">
        <v>83</v>
      </c>
      <c r="F27" s="147" t="str">
        <f>+VLOOKUP(A27,'Estado SCI'!$A$16:$I$59,9,0)</f>
        <v>Mantenimiento del control</v>
      </c>
      <c r="G27" s="147">
        <f>+VLOOKUP(A27,'Estado SCI'!$A$16:$L$59,12,0)</f>
        <v>60.325000000000003</v>
      </c>
      <c r="H27" s="147">
        <f t="shared" si="0"/>
        <v>26</v>
      </c>
      <c r="I27" s="147" t="str">
        <f>+IF(VLOOKUP(A27,'Estado SCI'!$A$16:$G$59,7,0)="","",VLOOKUP(A27,'Estado SCI'!$A$16:$G$59,7,0))</f>
        <v>Si</v>
      </c>
      <c r="J27" s="148">
        <f t="shared" si="2"/>
        <v>1</v>
      </c>
      <c r="K27" s="149">
        <f t="shared" si="1"/>
        <v>0.9</v>
      </c>
    </row>
    <row r="28" spans="1:11" ht="15" customHeight="1" x14ac:dyDescent="0.25">
      <c r="A28" s="147" t="s">
        <v>171</v>
      </c>
      <c r="B28" s="147" t="s">
        <v>78</v>
      </c>
      <c r="C28" s="147" t="s">
        <v>97</v>
      </c>
      <c r="D28" s="147" t="s">
        <v>43</v>
      </c>
      <c r="E28" s="147" t="s">
        <v>84</v>
      </c>
      <c r="F28" s="147" t="str">
        <f>+VLOOKUP(A28,'Estado SCI'!$A$16:$I$59,9,0)</f>
        <v>Mantenimiento del control</v>
      </c>
      <c r="G28" s="147">
        <f>+VLOOKUP(A28,'Estado SCI'!$A$16:$L$59,12,0)</f>
        <v>60.326000000000001</v>
      </c>
      <c r="H28" s="147">
        <f t="shared" si="0"/>
        <v>27</v>
      </c>
      <c r="I28" s="147" t="str">
        <f>+IF(VLOOKUP(A28,'Estado SCI'!$A$16:$G$59,7,0)="","",VLOOKUP(A28,'Estado SCI'!$A$16:$G$59,7,0))</f>
        <v>Si</v>
      </c>
      <c r="J28" s="148">
        <f t="shared" si="2"/>
        <v>1</v>
      </c>
      <c r="K28" s="149">
        <f t="shared" si="1"/>
        <v>0.9</v>
      </c>
    </row>
    <row r="29" spans="1:11" ht="15" customHeight="1" x14ac:dyDescent="0.25">
      <c r="A29" s="147" t="s">
        <v>172</v>
      </c>
      <c r="B29" s="147" t="str">
        <f>+VLOOKUP(A29,'Estado SCI'!$A$16:$C$59,3,0)</f>
        <v>INFORMACION Y COMUNICACIÓN</v>
      </c>
      <c r="C29" s="147" t="s">
        <v>97</v>
      </c>
      <c r="D29" s="147" t="s">
        <v>34</v>
      </c>
      <c r="E29" s="147" t="s">
        <v>88</v>
      </c>
      <c r="F29" s="147" t="str">
        <f>+VLOOKUP(A29,'Estado SCI'!$A$16:$I$59,9,0)</f>
        <v>Mantenimiento del control</v>
      </c>
      <c r="G29" s="147">
        <f>+VLOOKUP(A29,'Estado SCI'!$A$16:$L$59,12,0)</f>
        <v>80.412000000000006</v>
      </c>
      <c r="H29" s="147">
        <f t="shared" si="0"/>
        <v>29</v>
      </c>
      <c r="I29" s="147" t="str">
        <f>+IF(VLOOKUP(A29,'Estado SCI'!$A$16:$G$59,7,0)="","",VLOOKUP(A29,'Estado SCI'!$A$16:$G$59,7,0))</f>
        <v>Si</v>
      </c>
      <c r="J29" s="148">
        <f t="shared" si="2"/>
        <v>1</v>
      </c>
      <c r="K29" s="149">
        <f t="shared" si="1"/>
        <v>0.9285714285714286</v>
      </c>
    </row>
    <row r="30" spans="1:11" ht="15" customHeight="1" x14ac:dyDescent="0.25">
      <c r="A30" s="147" t="s">
        <v>173</v>
      </c>
      <c r="B30" s="147" t="s">
        <v>86</v>
      </c>
      <c r="C30" s="147" t="s">
        <v>97</v>
      </c>
      <c r="D30" s="147" t="s">
        <v>36</v>
      </c>
      <c r="E30" s="147" t="s">
        <v>89</v>
      </c>
      <c r="F30" s="147" t="str">
        <f>+VLOOKUP(A30,'Estado SCI'!$A$16:$I$59,9,0)</f>
        <v>Mantenimiento del control</v>
      </c>
      <c r="G30" s="147">
        <f>+VLOOKUP(A30,'Estado SCI'!$A$16:$L$59,12,0)</f>
        <v>80.412300000000002</v>
      </c>
      <c r="H30" s="147">
        <f t="shared" si="0"/>
        <v>30</v>
      </c>
      <c r="I30" s="147" t="str">
        <f>+IF(VLOOKUP(A30,'Estado SCI'!$A$16:$G$59,7,0)="","",VLOOKUP(A30,'Estado SCI'!$A$16:$G$59,7,0))</f>
        <v>Si</v>
      </c>
      <c r="J30" s="148">
        <f t="shared" si="2"/>
        <v>1</v>
      </c>
      <c r="K30" s="149">
        <f t="shared" si="1"/>
        <v>0.9285714285714286</v>
      </c>
    </row>
    <row r="31" spans="1:11" ht="15.75" customHeight="1" x14ac:dyDescent="0.25">
      <c r="A31" s="147" t="s">
        <v>174</v>
      </c>
      <c r="B31" s="147" t="s">
        <v>86</v>
      </c>
      <c r="C31" s="147" t="s">
        <v>97</v>
      </c>
      <c r="D31" s="147" t="s">
        <v>39</v>
      </c>
      <c r="E31" s="147" t="s">
        <v>90</v>
      </c>
      <c r="F31" s="147" t="str">
        <f>+VLOOKUP(A31,'Estado SCI'!$A$16:$I$59,9,0)</f>
        <v>Mantenimiento del control</v>
      </c>
      <c r="G31" s="147">
        <f>+VLOOKUP(A31,'Estado SCI'!$A$16:$L$59,12,0)</f>
        <v>80.41234</v>
      </c>
      <c r="H31" s="147">
        <f t="shared" si="0"/>
        <v>31</v>
      </c>
      <c r="I31" s="147" t="str">
        <f>+IF(VLOOKUP(A31,'Estado SCI'!$A$16:$G$59,7,0)="","",VLOOKUP(A31,'Estado SCI'!$A$16:$G$59,7,0))</f>
        <v>Si</v>
      </c>
      <c r="J31" s="148">
        <f t="shared" si="2"/>
        <v>1</v>
      </c>
      <c r="K31" s="149">
        <f t="shared" si="1"/>
        <v>0.9285714285714286</v>
      </c>
    </row>
    <row r="32" spans="1:11" x14ac:dyDescent="0.25">
      <c r="A32" s="147" t="s">
        <v>175</v>
      </c>
      <c r="B32" s="147" t="s">
        <v>86</v>
      </c>
      <c r="C32" s="147" t="s">
        <v>103</v>
      </c>
      <c r="D32" s="147" t="s">
        <v>41</v>
      </c>
      <c r="E32" s="147" t="s">
        <v>91</v>
      </c>
      <c r="F32" s="147" t="str">
        <f>+VLOOKUP(A32,'Estado SCI'!$A$16:$I$59,9,0)</f>
        <v>Mantenimiento del control</v>
      </c>
      <c r="G32" s="147">
        <f>+VLOOKUP(A32,'Estado SCI'!$A$16:$L$59,12,0)</f>
        <v>80.412345000000002</v>
      </c>
      <c r="H32" s="147">
        <f t="shared" si="0"/>
        <v>32</v>
      </c>
      <c r="I32" s="147" t="str">
        <f>+IF(VLOOKUP(A32,'Estado SCI'!$A$16:$G$59,7,0)="","",VLOOKUP(A32,'Estado SCI'!$A$16:$G$59,7,0))</f>
        <v>Si</v>
      </c>
      <c r="J32" s="148">
        <f t="shared" si="2"/>
        <v>1</v>
      </c>
      <c r="K32" s="149">
        <f t="shared" si="1"/>
        <v>0.9285714285714286</v>
      </c>
    </row>
    <row r="33" spans="1:11" x14ac:dyDescent="0.25">
      <c r="A33" s="147" t="s">
        <v>176</v>
      </c>
      <c r="B33" s="147" t="s">
        <v>86</v>
      </c>
      <c r="C33" s="147" t="s">
        <v>177</v>
      </c>
      <c r="D33" s="147" t="s">
        <v>43</v>
      </c>
      <c r="E33" s="147" t="s">
        <v>92</v>
      </c>
      <c r="F33" s="147" t="str">
        <f>+VLOOKUP(A33,'Estado SCI'!$A$16:$I$59,9,0)</f>
        <v>Mantenimiento del control</v>
      </c>
      <c r="G33" s="147">
        <f>+VLOOKUP(A33,'Estado SCI'!$A$16:$L$59,12,0)</f>
        <v>80.412345599999995</v>
      </c>
      <c r="H33" s="147">
        <f t="shared" si="0"/>
        <v>33</v>
      </c>
      <c r="I33" s="147" t="str">
        <f>+IF(VLOOKUP(A33,'Estado SCI'!$A$16:$G$59,7,0)="","",VLOOKUP(A33,'Estado SCI'!$A$16:$G$59,7,0))</f>
        <v>Si</v>
      </c>
      <c r="J33" s="148">
        <f t="shared" si="2"/>
        <v>1</v>
      </c>
      <c r="K33" s="149">
        <f t="shared" si="1"/>
        <v>0.9285714285714286</v>
      </c>
    </row>
    <row r="34" spans="1:11" x14ac:dyDescent="0.25">
      <c r="A34" s="147" t="s">
        <v>178</v>
      </c>
      <c r="B34" s="147" t="s">
        <v>86</v>
      </c>
      <c r="C34" s="147" t="s">
        <v>177</v>
      </c>
      <c r="D34" s="147" t="s">
        <v>45</v>
      </c>
      <c r="E34" s="147" t="s">
        <v>93</v>
      </c>
      <c r="F34" s="147" t="str">
        <f>+VLOOKUP(A34,'Estado SCI'!$A$16:$I$59,9,0)</f>
        <v>Mantenimiento del control</v>
      </c>
      <c r="G34" s="147">
        <f>+VLOOKUP(A34,'Estado SCI'!$A$16:$L$59,12,0)</f>
        <v>80.412345669999993</v>
      </c>
      <c r="H34" s="147">
        <f t="shared" si="0"/>
        <v>34</v>
      </c>
      <c r="I34" s="147" t="str">
        <f>+IF(VLOOKUP(A34,'Estado SCI'!$A$16:$G$59,7,0)="","",VLOOKUP(A34,'Estado SCI'!$A$16:$G$59,7,0))</f>
        <v>Si</v>
      </c>
      <c r="J34" s="148">
        <f t="shared" si="2"/>
        <v>1</v>
      </c>
      <c r="K34" s="149">
        <f t="shared" si="1"/>
        <v>0.9285714285714286</v>
      </c>
    </row>
    <row r="35" spans="1:11" x14ac:dyDescent="0.25">
      <c r="A35" s="147" t="s">
        <v>179</v>
      </c>
      <c r="B35" s="147" t="s">
        <v>86</v>
      </c>
      <c r="C35" s="147" t="s">
        <v>177</v>
      </c>
      <c r="D35" s="147" t="s">
        <v>47</v>
      </c>
      <c r="E35" s="147" t="s">
        <v>94</v>
      </c>
      <c r="F35" s="147" t="str">
        <f>+VLOOKUP(A35,'Estado SCI'!$A$16:$I$59,9,0)</f>
        <v>Oportunidad de mejora</v>
      </c>
      <c r="G35" s="147">
        <f>+VLOOKUP(A35,'Estado SCI'!$A$16:$L$59,12,0)</f>
        <v>70.412345677999994</v>
      </c>
      <c r="H35" s="147">
        <f t="shared" si="0"/>
        <v>28</v>
      </c>
      <c r="I35" s="147" t="str">
        <f>+IF(VLOOKUP(A35,'Estado SCI'!$A$16:$G$59,7,0)="","",VLOOKUP(A35,'Estado SCI'!$A$16:$G$59,7,0))</f>
        <v>En proceso</v>
      </c>
      <c r="J35" s="148">
        <f t="shared" si="2"/>
        <v>0.5</v>
      </c>
      <c r="K35" s="149">
        <f t="shared" si="1"/>
        <v>0.9285714285714286</v>
      </c>
    </row>
    <row r="36" spans="1:11" x14ac:dyDescent="0.25">
      <c r="A36" s="147" t="s">
        <v>180</v>
      </c>
      <c r="B36" s="147" t="str">
        <f>+VLOOKUP(A36,'Estado SCI'!$A$16:$C$59,3,0)</f>
        <v>ACTIVIDADES DE MONITOREO</v>
      </c>
      <c r="C36" s="147" t="s">
        <v>177</v>
      </c>
      <c r="D36" s="147" t="s">
        <v>34</v>
      </c>
      <c r="E36" s="147" t="s">
        <v>98</v>
      </c>
      <c r="F36" s="147" t="str">
        <f>+VLOOKUP(A36,'Estado SCI'!$A$16:$I$59,9,0)</f>
        <v>Mantenimiento del control</v>
      </c>
      <c r="G36" s="147">
        <f>+VLOOKUP(A36,'Estado SCI'!$A$16:$L$59,12,0)</f>
        <v>120.851</v>
      </c>
      <c r="H36" s="147">
        <f t="shared" si="0"/>
        <v>37</v>
      </c>
      <c r="I36" s="147" t="str">
        <f>+IF(VLOOKUP(A36,'Estado SCI'!$A$16:$G$59,7,0)="","",VLOOKUP(A36,'Estado SCI'!$A$16:$G$59,7,0))</f>
        <v>Si</v>
      </c>
      <c r="J36" s="148">
        <f t="shared" si="2"/>
        <v>1</v>
      </c>
      <c r="K36" s="149">
        <f t="shared" si="1"/>
        <v>0.9</v>
      </c>
    </row>
    <row r="37" spans="1:11" x14ac:dyDescent="0.25">
      <c r="A37" s="147" t="s">
        <v>181</v>
      </c>
      <c r="B37" s="147" t="s">
        <v>96</v>
      </c>
      <c r="C37" s="147" t="s">
        <v>177</v>
      </c>
      <c r="D37" s="147" t="s">
        <v>41</v>
      </c>
      <c r="E37" s="147" t="s">
        <v>99</v>
      </c>
      <c r="F37" s="147" t="str">
        <f>+VLOOKUP(A37,'Estado SCI'!$A$16:$I$59,9,0)</f>
        <v>Mantenimiento del control</v>
      </c>
      <c r="G37" s="147">
        <f>+VLOOKUP(A37,'Estado SCI'!$A$16:$L$59,12,0)</f>
        <v>120.85120000000001</v>
      </c>
      <c r="H37" s="147">
        <f t="shared" si="0"/>
        <v>38</v>
      </c>
      <c r="I37" s="147" t="str">
        <f>+IF(VLOOKUP(A37,'Estado SCI'!$A$16:$G$59,7,0)="","",VLOOKUP(A37,'Estado SCI'!$A$16:$G$59,7,0))</f>
        <v>Si</v>
      </c>
      <c r="J37" s="148">
        <f t="shared" si="2"/>
        <v>1</v>
      </c>
      <c r="K37" s="149">
        <f t="shared" si="1"/>
        <v>0.9</v>
      </c>
    </row>
    <row r="38" spans="1:11" x14ac:dyDescent="0.25">
      <c r="A38" s="147" t="s">
        <v>182</v>
      </c>
      <c r="B38" s="147" t="s">
        <v>96</v>
      </c>
      <c r="C38" s="147" t="s">
        <v>67</v>
      </c>
      <c r="D38" s="147" t="s">
        <v>45</v>
      </c>
      <c r="E38" s="147" t="s">
        <v>100</v>
      </c>
      <c r="F38" s="147" t="str">
        <f>+VLOOKUP(A38,'Estado SCI'!$A$16:$I$59,9,0)</f>
        <v>Mantenimiento del control</v>
      </c>
      <c r="G38" s="147">
        <f>+VLOOKUP(A38,'Estado SCI'!$A$16:$L$59,12,0)</f>
        <v>120.85123</v>
      </c>
      <c r="H38" s="147">
        <f t="shared" si="0"/>
        <v>39</v>
      </c>
      <c r="I38" s="147" t="str">
        <f>+IF(VLOOKUP(A38,'Estado SCI'!$A$16:$G$59,7,0)="","",VLOOKUP(A38,'Estado SCI'!$A$16:$G$59,7,0))</f>
        <v>Si</v>
      </c>
      <c r="J38" s="148">
        <f t="shared" si="2"/>
        <v>1</v>
      </c>
      <c r="K38" s="149">
        <f t="shared" si="1"/>
        <v>0.9</v>
      </c>
    </row>
    <row r="39" spans="1:11" x14ac:dyDescent="0.25">
      <c r="A39" s="147" t="s">
        <v>183</v>
      </c>
      <c r="B39" s="147" t="s">
        <v>96</v>
      </c>
      <c r="C39" s="147" t="s">
        <v>67</v>
      </c>
      <c r="D39" s="147" t="s">
        <v>47</v>
      </c>
      <c r="E39" s="147" t="s">
        <v>101</v>
      </c>
      <c r="F39" s="147" t="str">
        <f>+VLOOKUP(A39,'Estado SCI'!$A$16:$I$59,9,0)</f>
        <v>Mantenimiento del control</v>
      </c>
      <c r="G39" s="147">
        <f>+VLOOKUP(A39,'Estado SCI'!$A$16:$L$59,12,0)</f>
        <v>120.85123400000001</v>
      </c>
      <c r="H39" s="147">
        <f t="shared" si="0"/>
        <v>40</v>
      </c>
      <c r="I39" s="147" t="str">
        <f>+IF(VLOOKUP(A39,'Estado SCI'!$A$16:$G$59,7,0)="","",VLOOKUP(A39,'Estado SCI'!$A$16:$G$59,7,0))</f>
        <v>Si</v>
      </c>
      <c r="J39" s="148">
        <f t="shared" si="2"/>
        <v>1</v>
      </c>
      <c r="K39" s="149">
        <f t="shared" si="1"/>
        <v>0.9</v>
      </c>
    </row>
    <row r="40" spans="1:11" x14ac:dyDescent="0.25">
      <c r="A40" s="147" t="s">
        <v>184</v>
      </c>
      <c r="B40" s="147" t="s">
        <v>96</v>
      </c>
      <c r="C40" s="147" t="s">
        <v>67</v>
      </c>
      <c r="D40" s="147" t="s">
        <v>49</v>
      </c>
      <c r="E40" s="147" t="s">
        <v>104</v>
      </c>
      <c r="F40" s="147" t="str">
        <f>+VLOOKUP(A40,'Estado SCI'!$A$16:$I$59,9,0)</f>
        <v>Mantenimiento del control</v>
      </c>
      <c r="G40" s="147">
        <f>+VLOOKUP(A40,'Estado SCI'!$A$16:$L$59,12,0)</f>
        <v>120.8512345</v>
      </c>
      <c r="H40" s="147">
        <f t="shared" si="0"/>
        <v>41</v>
      </c>
      <c r="I40" s="147" t="str">
        <f>+IF(VLOOKUP(A40,'Estado SCI'!$A$16:$G$59,7,0)="","",VLOOKUP(A40,'Estado SCI'!$A$16:$G$59,7,0))</f>
        <v>Si</v>
      </c>
      <c r="J40" s="148">
        <f t="shared" si="2"/>
        <v>1</v>
      </c>
      <c r="K40" s="149">
        <f t="shared" si="1"/>
        <v>0.9</v>
      </c>
    </row>
    <row r="41" spans="1:11" x14ac:dyDescent="0.25">
      <c r="A41" s="147" t="s">
        <v>185</v>
      </c>
      <c r="B41" s="147" t="s">
        <v>96</v>
      </c>
      <c r="C41" s="147" t="s">
        <v>67</v>
      </c>
      <c r="D41" s="147" t="s">
        <v>34</v>
      </c>
      <c r="E41" s="147" t="s">
        <v>107</v>
      </c>
      <c r="F41" s="147" t="str">
        <f>+VLOOKUP(A41,'Estado SCI'!$A$16:$I$59,9,0)</f>
        <v>Mantenimiento del control</v>
      </c>
      <c r="G41" s="147">
        <f>+VLOOKUP(A41,'Estado SCI'!$A$16:$L$59,12,0)</f>
        <v>120.85123455999999</v>
      </c>
      <c r="H41" s="147">
        <f t="shared" si="0"/>
        <v>42</v>
      </c>
      <c r="I41" s="147" t="str">
        <f>+IF(VLOOKUP(A41,'Estado SCI'!$A$16:$G$59,7,0)="","",VLOOKUP(A41,'Estado SCI'!$A$16:$G$59,7,0))</f>
        <v>Si</v>
      </c>
      <c r="J41" s="148">
        <f t="shared" si="2"/>
        <v>1</v>
      </c>
      <c r="K41" s="149">
        <f t="shared" si="1"/>
        <v>0.9</v>
      </c>
    </row>
    <row r="42" spans="1:11" x14ac:dyDescent="0.25">
      <c r="A42" s="147" t="s">
        <v>186</v>
      </c>
      <c r="B42" s="147" t="s">
        <v>96</v>
      </c>
      <c r="C42" s="147" t="s">
        <v>72</v>
      </c>
      <c r="D42" s="147" t="s">
        <v>36</v>
      </c>
      <c r="E42" s="147" t="s">
        <v>108</v>
      </c>
      <c r="F42" s="147" t="str">
        <f>+VLOOKUP(A42,'Estado SCI'!$A$16:$I$59,9,0)</f>
        <v>Mantenimiento del control</v>
      </c>
      <c r="G42" s="147">
        <f>+VLOOKUP(A42,'Estado SCI'!$A$16:$L$59,12,0)</f>
        <v>120.85123456700001</v>
      </c>
      <c r="H42" s="147">
        <f t="shared" si="0"/>
        <v>43</v>
      </c>
      <c r="I42" s="147" t="str">
        <f>+IF(VLOOKUP(A42,'Estado SCI'!$A$16:$G$59,7,0)="","",VLOOKUP(A42,'Estado SCI'!$A$16:$G$59,7,0))</f>
        <v>Si</v>
      </c>
      <c r="J42" s="148">
        <f t="shared" si="2"/>
        <v>1</v>
      </c>
      <c r="K42" s="149">
        <f t="shared" si="1"/>
        <v>0.9</v>
      </c>
    </row>
    <row r="43" spans="1:11" x14ac:dyDescent="0.25">
      <c r="A43" s="147" t="s">
        <v>187</v>
      </c>
      <c r="B43" s="147" t="s">
        <v>96</v>
      </c>
      <c r="C43" s="147" t="s">
        <v>72</v>
      </c>
      <c r="D43" s="147" t="s">
        <v>39</v>
      </c>
      <c r="E43" s="147" t="s">
        <v>109</v>
      </c>
      <c r="F43" s="147" t="str">
        <f>+VLOOKUP(A43,'Estado SCI'!$A$16:$I$59,9,0)</f>
        <v>Mantenimiento del control</v>
      </c>
      <c r="G43" s="147">
        <f>+VLOOKUP(A43,'Estado SCI'!$A$16:$L$59,12,0)</f>
        <v>120.85123456780001</v>
      </c>
      <c r="H43" s="147">
        <f t="shared" si="0"/>
        <v>44</v>
      </c>
      <c r="I43" s="147" t="str">
        <f>+IF(VLOOKUP(A43,'Estado SCI'!$A$16:$G$59,7,0)="","",VLOOKUP(A43,'Estado SCI'!$A$16:$G$59,7,0))</f>
        <v>Si</v>
      </c>
      <c r="J43" s="148">
        <f t="shared" si="2"/>
        <v>1</v>
      </c>
      <c r="K43" s="149">
        <f t="shared" si="1"/>
        <v>0.9</v>
      </c>
    </row>
    <row r="44" spans="1:11" x14ac:dyDescent="0.25">
      <c r="A44" s="147" t="s">
        <v>188</v>
      </c>
      <c r="B44" s="147" t="s">
        <v>96</v>
      </c>
      <c r="C44" s="147" t="s">
        <v>72</v>
      </c>
      <c r="D44" s="147" t="s">
        <v>41</v>
      </c>
      <c r="E44" s="147" t="s">
        <v>110</v>
      </c>
      <c r="F44" s="147" t="str">
        <f>+VLOOKUP(A44,'Estado SCI'!$A$16:$I$59,9,0)</f>
        <v>Oportunidad de mejora</v>
      </c>
      <c r="G44" s="147">
        <f>+VLOOKUP(A44,'Estado SCI'!$A$16:$L$59,12,0)</f>
        <v>100.85123456789</v>
      </c>
      <c r="H44" s="147">
        <f t="shared" si="0"/>
        <v>35</v>
      </c>
      <c r="I44" s="147" t="str">
        <f>+IF(VLOOKUP(A44,'Estado SCI'!$A$16:$G$59,7,0)="","",VLOOKUP(A44,'Estado SCI'!$A$16:$G$59,7,0))</f>
        <v>En proceso</v>
      </c>
      <c r="J44" s="148">
        <f t="shared" si="2"/>
        <v>0.5</v>
      </c>
      <c r="K44" s="149">
        <f t="shared" si="1"/>
        <v>0.9</v>
      </c>
    </row>
    <row r="45" spans="1:11" x14ac:dyDescent="0.25">
      <c r="A45" s="147" t="s">
        <v>189</v>
      </c>
      <c r="B45" s="147" t="s">
        <v>96</v>
      </c>
      <c r="C45" s="147" t="s">
        <v>72</v>
      </c>
      <c r="D45" s="147" t="s">
        <v>43</v>
      </c>
      <c r="E45" s="147" t="s">
        <v>111</v>
      </c>
      <c r="F45" s="147" t="str">
        <f>+VLOOKUP(A45,'Estado SCI'!$A$16:$I$59,9,0)</f>
        <v>Oportunidad de mejora</v>
      </c>
      <c r="G45" s="147">
        <f>+VLOOKUP(A45,'Estado SCI'!$A$16:$L$59,12,0)</f>
        <v>100.851234567891</v>
      </c>
      <c r="H45" s="147">
        <f t="shared" si="0"/>
        <v>36</v>
      </c>
      <c r="I45" s="147" t="str">
        <f>+IF(VLOOKUP(A45,'Estado SCI'!$A$16:$G$59,7,0)="","",VLOOKUP(A45,'Estado SCI'!$A$16:$G$59,7,0))</f>
        <v>En proceso</v>
      </c>
      <c r="J45" s="148">
        <f t="shared" si="2"/>
        <v>0.5</v>
      </c>
      <c r="K45" s="149">
        <f t="shared" si="1"/>
        <v>0.9</v>
      </c>
    </row>
  </sheetData>
  <sheetProtection algorithmName="SHA-512" hashValue="eXgkKlTi9xJKAI7t6Aeb2RaFpkfyF43pI2BIhtxDc7hsl0SqLK8I4Wc7jbZwC5kw3uyIHOBIUXRnh5cC70LKYA==" saltValue="AxKzX6Ar80vT7acQV8rFpQ==" spinCount="100000" sheet="1" objects="1" scenarios="1" selectLockedCells="1"/>
  <autoFilter ref="A1:K45" xr:uid="{00000000-0009-0000-0000-000004000000}"/>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5</vt:i4>
      </vt:variant>
    </vt:vector>
  </HeadingPairs>
  <TitlesOfParts>
    <vt:vector size="5" baseType="lpstr">
      <vt:lpstr>Instructivo</vt:lpstr>
      <vt:lpstr>Estado SCI</vt:lpstr>
      <vt:lpstr>Análisis Resultados</vt:lpstr>
      <vt:lpstr>Conclusión</vt:lpstr>
      <vt:lpstr>Hoja1</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Sala Juntas Piso 6</dc:creator>
  <cp:keywords/>
  <dc:description/>
  <cp:lastModifiedBy>empresa del estado</cp:lastModifiedBy>
  <cp:revision/>
  <dcterms:created xsi:type="dcterms:W3CDTF">2020-04-28T13:58:09Z</dcterms:created>
  <dcterms:modified xsi:type="dcterms:W3CDTF">2025-07-24T03:47:23Z</dcterms:modified>
  <cp:category/>
  <cp:contentStatus/>
</cp:coreProperties>
</file>